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How to use" sheetId="1" state="visible" r:id="rId1"/>
    <sheet name="Event Info" sheetId="2" state="visible" r:id="rId2"/>
    <sheet name="Schedule" sheetId="3" state="visible" r:id="rId3"/>
    <sheet name="Call Sheet" sheetId="4" state="visible" r:id="rId4"/>
  </sheets>
  <definedNames>
    <definedName name="_xlnm.Print_Area" localSheetId="0">'How to use'!$A$1:$E$44</definedName>
    <definedName name="_xlnm.Print_Area" localSheetId="1">'Event Info'!$A$1:$F$35</definedName>
    <definedName name="_xlnm.Print_Titles" localSheetId="2">'Schedule'!$1:$12</definedName>
    <definedName name="_xlnm.Print_Area" localSheetId="2">'Schedule'!$A$1:$Q$54</definedName>
    <definedName name="_xlnm.Print_Titles" localSheetId="3">'Call Sheet'!$8:$8</definedName>
    <definedName name="_xlnm.Print_Area" localSheetId="3">'Call Sheet'!$A$1:$L$48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d, mmmm d, yyyy"/>
    <numFmt numFmtId="166" formatCode="0&quot; min&quot;"/>
  </numFmts>
  <fonts count="39">
    <font>
      <name val="Calibri"/>
      <family val="2"/>
      <color theme="1"/>
      <sz val="11"/>
      <scheme val="minor"/>
    </font>
    <font>
      <name val="Arial"/>
      <b val="1"/>
      <color rgb="000F172A"/>
      <sz val="20"/>
    </font>
    <font>
      <name val="Arial"/>
      <color rgb="0064748B"/>
      <sz val="10"/>
    </font>
    <font>
      <name val="Arial"/>
      <b val="1"/>
      <color rgb="002563EB"/>
      <sz val="9"/>
    </font>
    <font>
      <name val="Arial"/>
      <b val="1"/>
      <color rgb="001E293B"/>
      <sz val="10"/>
    </font>
    <font>
      <name val="Arial"/>
      <color rgb="000F172A"/>
      <sz val="11"/>
    </font>
    <font>
      <name val="Arial"/>
      <color rgb="0064748B"/>
      <sz val="9"/>
    </font>
    <font>
      <name val="Arial"/>
      <b val="1"/>
      <color rgb="00334155"/>
      <sz val="11"/>
    </font>
    <font>
      <name val="Arial"/>
      <color rgb="000F172A"/>
      <sz val="10"/>
    </font>
    <font>
      <name val="Arial"/>
      <b val="1"/>
      <color rgb="001E293B"/>
      <sz val="11"/>
    </font>
    <font>
      <name val="Arial"/>
      <color rgb="001E293B"/>
      <sz val="10"/>
    </font>
    <font>
      <name val="Arial"/>
      <b val="1"/>
      <color rgb="000F172A"/>
      <sz val="10"/>
    </font>
    <font>
      <name val="Arial"/>
      <b val="1"/>
      <color rgb="001D4ED8"/>
      <sz val="11"/>
    </font>
    <font>
      <name val="Arial"/>
      <i val="1"/>
      <color rgb="0094A3B8"/>
      <sz val="8"/>
    </font>
    <font>
      <name val="Arial"/>
      <b val="1"/>
      <color rgb="0064748B"/>
      <sz val="8"/>
    </font>
    <font>
      <name val="Arial"/>
      <b val="1"/>
      <color rgb="000F172A"/>
      <sz val="16"/>
    </font>
    <font>
      <name val="Arial"/>
      <color rgb="0064748B"/>
      <sz val="8"/>
    </font>
    <font>
      <name val="Arial"/>
      <b val="1"/>
      <color rgb="001D4ED8"/>
      <sz val="16"/>
    </font>
    <font>
      <name val="Arial"/>
      <b val="1"/>
      <color rgb="0064748B"/>
      <sz val="7"/>
    </font>
    <font>
      <name val="Arial"/>
      <b val="1"/>
      <color rgb="00475569"/>
      <sz val="7"/>
    </font>
    <font>
      <name val="Arial"/>
      <b val="1"/>
      <color rgb="00FFFFFF"/>
      <sz val="9"/>
    </font>
    <font>
      <name val="Arial"/>
      <color rgb="0094A3B8"/>
      <sz val="8"/>
    </font>
    <font>
      <name val="Arial"/>
      <color rgb="00334155"/>
      <sz val="10"/>
    </font>
    <font>
      <name val="Arial"/>
      <color rgb="0094A3B8"/>
      <sz val="9"/>
    </font>
    <font>
      <name val="Arial"/>
      <color rgb="001E293B"/>
      <sz val="9"/>
    </font>
    <font>
      <name val="Arial"/>
      <b val="1"/>
      <color rgb="001E293B"/>
      <sz val="9"/>
    </font>
    <font>
      <name val="Arial"/>
      <b val="1"/>
      <color rgb="001D4ED8"/>
      <sz val="10"/>
    </font>
    <font>
      <name val="Arial"/>
      <color rgb="000F172A"/>
      <sz val="9"/>
    </font>
    <font>
      <name val="Arial"/>
      <b val="1"/>
      <color rgb="000F172A"/>
      <sz val="9"/>
    </font>
    <font>
      <name val="Arial"/>
      <b val="1"/>
      <color rgb="000F172A"/>
      <sz val="22"/>
    </font>
    <font>
      <name val="Arial"/>
      <color rgb="0064748B"/>
      <sz val="11"/>
    </font>
    <font>
      <name val="Arial"/>
      <b val="1"/>
      <color rgb="00FFFFFF"/>
      <sz val="10"/>
    </font>
    <font>
      <name val="Arial"/>
      <b val="1"/>
      <color rgb="002563EB"/>
      <sz val="10"/>
    </font>
    <font>
      <name val="Arial"/>
      <b val="1"/>
      <color rgb="00334155"/>
      <sz val="10"/>
    </font>
    <font>
      <name val="Arial"/>
      <color rgb="00475569"/>
      <sz val="9"/>
    </font>
    <font>
      <name val="Arial"/>
      <b val="1"/>
      <color rgb="001D4ED8"/>
      <sz val="9"/>
    </font>
    <font>
      <name val="Arial"/>
      <b val="1"/>
      <color rgb="0092400E"/>
      <sz val="9"/>
    </font>
    <font>
      <name val="Arial"/>
      <b val="1"/>
      <color rgb="00047857"/>
      <sz val="9"/>
    </font>
    <font>
      <name val="Arial"/>
      <b val="1"/>
      <color rgb="002563EB"/>
      <sz val="14"/>
    </font>
  </fonts>
  <fills count="1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F2F7"/>
        <bgColor rgb="00EEF2F7"/>
      </patternFill>
    </fill>
    <fill>
      <patternFill patternType="solid">
        <fgColor rgb="00F8FAFC"/>
        <bgColor rgb="00F8FAFC"/>
      </patternFill>
    </fill>
    <fill>
      <patternFill patternType="solid">
        <fgColor rgb="00EFF4FF"/>
        <bgColor rgb="00EFF4FF"/>
      </patternFill>
    </fill>
    <fill>
      <patternFill patternType="solid">
        <fgColor rgb="000F172A"/>
        <bgColor rgb="000F172A"/>
      </patternFill>
    </fill>
    <fill>
      <patternFill patternType="solid">
        <fgColor rgb="00475569"/>
        <bgColor rgb="00475569"/>
      </patternFill>
    </fill>
    <fill>
      <patternFill patternType="solid">
        <fgColor rgb="002563EB"/>
        <bgColor rgb="002563EB"/>
      </patternFill>
    </fill>
    <fill>
      <patternFill patternType="solid">
        <fgColor rgb="00F1F5F9"/>
        <bgColor rgb="00F1F5F9"/>
      </patternFill>
    </fill>
    <fill>
      <patternFill patternType="solid">
        <fgColor rgb="00DBEAFE"/>
        <bgColor rgb="00DBEAFE"/>
      </patternFill>
    </fill>
    <fill>
      <patternFill patternType="solid">
        <fgColor rgb="00FEF3C7"/>
        <bgColor rgb="00FEF3C7"/>
      </patternFill>
    </fill>
    <fill>
      <patternFill patternType="solid">
        <fgColor rgb="00D1FAE5"/>
        <bgColor rgb="00D1FAE5"/>
      </patternFill>
    </fill>
    <fill>
      <patternFill patternType="solid">
        <fgColor rgb="0010B981"/>
        <bgColor rgb="0010B981"/>
      </patternFill>
    </fill>
  </fills>
  <borders count="36">
    <border>
      <left/>
      <right/>
      <top/>
      <bottom/>
      <diagonal/>
    </border>
    <border>
      <left/>
      <right/>
      <top/>
      <bottom style="thin">
        <color rgb="002563EB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 style="thin">
        <color rgb="00CBD5E1"/>
      </top>
      <bottom/>
    </border>
    <border>
      <left/>
      <right/>
      <top style="thin">
        <color rgb="00CBD5E1"/>
      </top>
      <bottom/>
    </border>
    <border>
      <left/>
      <right style="thin">
        <color rgb="00CBD5E1"/>
      </right>
      <top style="thin">
        <color rgb="00CBD5E1"/>
      </top>
      <bottom/>
    </border>
    <border>
      <left style="thin">
        <color rgb="00CBD5E1"/>
      </left>
      <right/>
      <top/>
      <bottom/>
    </border>
    <border>
      <left/>
      <right/>
      <top/>
      <bottom/>
    </border>
    <border>
      <left/>
      <right style="thin">
        <color rgb="00CBD5E1"/>
      </right>
      <top/>
      <bottom/>
    </border>
    <border>
      <left style="thin">
        <color rgb="00CBD5E1"/>
      </left>
      <right/>
      <top/>
      <bottom style="thin">
        <color rgb="00CBD5E1"/>
      </bottom>
    </border>
    <border>
      <left/>
      <right/>
      <top/>
      <bottom style="thin">
        <color rgb="00CBD5E1"/>
      </bottom>
    </border>
    <border>
      <left/>
      <right style="thin">
        <color rgb="00CBD5E1"/>
      </right>
      <top/>
      <bottom style="thin">
        <color rgb="00CBD5E1"/>
      </bottom>
    </border>
    <border>
      <left style="dashed">
        <color rgb="0094A3B8"/>
      </left>
      <right/>
      <top style="dashed">
        <color rgb="0094A3B8"/>
      </top>
      <bottom/>
    </border>
    <border>
      <left/>
      <right/>
      <top style="dashed">
        <color rgb="0094A3B8"/>
      </top>
      <bottom/>
    </border>
    <border>
      <left/>
      <right style="dashed">
        <color rgb="0094A3B8"/>
      </right>
      <top style="dashed">
        <color rgb="0094A3B8"/>
      </top>
      <bottom/>
    </border>
    <border>
      <left style="dashed">
        <color rgb="0094A3B8"/>
      </left>
      <right/>
      <top/>
      <bottom/>
    </border>
    <border>
      <left/>
      <right style="dashed">
        <color rgb="0094A3B8"/>
      </right>
      <top/>
      <bottom/>
    </border>
    <border>
      <left style="dashed">
        <color rgb="0094A3B8"/>
      </left>
      <right/>
      <top/>
      <bottom style="dashed">
        <color rgb="0094A3B8"/>
      </bottom>
    </border>
    <border>
      <left/>
      <right/>
      <top/>
      <bottom style="dashed">
        <color rgb="0094A3B8"/>
      </bottom>
    </border>
    <border>
      <left/>
      <right style="dashed">
        <color rgb="0094A3B8"/>
      </right>
      <top/>
      <bottom style="dashed">
        <color rgb="0094A3B8"/>
      </bottom>
    </border>
    <border>
      <bottom style="thin">
        <color rgb="00FFFFFF"/>
      </bottom>
    </border>
    <border>
      <left style="thick">
        <color rgb="00FFFFFF"/>
      </left>
      <right/>
      <top style="medium">
        <color rgb="002563EB"/>
      </top>
      <bottom/>
    </border>
    <border>
      <left/>
      <right/>
      <top style="medium">
        <color rgb="002563EB"/>
      </top>
      <bottom/>
    </border>
    <border>
      <left/>
      <right style="thick">
        <color rgb="00FFFFFF"/>
      </right>
      <top style="medium">
        <color rgb="002563EB"/>
      </top>
      <bottom/>
    </border>
    <border>
      <left style="thick">
        <color rgb="00FFFFFF"/>
      </left>
      <right/>
      <top/>
      <bottom/>
    </border>
    <border>
      <left/>
      <right style="thick">
        <color rgb="00FFFFFF"/>
      </right>
      <top/>
      <bottom/>
    </border>
    <border>
      <left style="thick">
        <color rgb="00FFFFFF"/>
      </left>
      <right style="thick">
        <color rgb="00FFFFFF"/>
      </right>
      <top style="medium">
        <color rgb="002563EB"/>
      </top>
      <bottom/>
    </border>
    <border>
      <left style="thick">
        <color rgb="00FFFFFF"/>
      </left>
      <right style="thick">
        <color rgb="00FFFFFF"/>
      </right>
      <top/>
      <bottom/>
    </border>
    <border>
      <left style="thin">
        <color rgb="000F172A"/>
      </left>
      <right style="thin">
        <color rgb="00FFFFFF"/>
      </right>
    </border>
    <border>
      <left style="thin">
        <color rgb="00FFFFFF"/>
      </left>
      <right style="thin">
        <color rgb="00FFFFFF"/>
      </right>
    </border>
    <border>
      <left style="thin">
        <color rgb="00FFFFFF"/>
      </left>
      <right style="thin">
        <color rgb="000F172A"/>
      </right>
    </border>
    <border>
      <left style="thin">
        <color rgb="00EEF2F6"/>
      </left>
      <right style="thin">
        <color rgb="00EEF2F6"/>
      </right>
      <bottom style="thin">
        <color rgb="00E2E8F0"/>
      </bottom>
    </border>
    <border>
      <bottom style="medium">
        <color rgb="00FFFFFF"/>
      </bottom>
    </border>
    <border>
      <bottom style="thin">
        <color rgb="00E2E8F0"/>
      </bottom>
    </border>
    <border>
      <bottom style="thin">
        <color rgb="00EEF2F6"/>
      </bottom>
    </border>
    <border>
      <top style="medium">
        <color rgb="00FFFFFF"/>
      </top>
      <bottom style="medium">
        <color rgb="00FFFFFF"/>
      </bottom>
    </border>
  </borders>
  <cellStyleXfs count="1">
    <xf numFmtId="0" fontId="0" fillId="0" borderId="0"/>
  </cellStyleXfs>
  <cellXfs count="130">
    <xf numFmtId="0" fontId="0" fillId="0" borderId="0" pivotButton="0" quotePrefix="0" xfId="0"/>
    <xf numFmtId="0" fontId="29" fillId="0" borderId="0" applyAlignment="1" pivotButton="0" quotePrefix="0" xfId="0">
      <alignment horizontal="left" vertical="center"/>
    </xf>
    <xf numFmtId="0" fontId="30" fillId="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bottom"/>
    </xf>
    <xf numFmtId="0" fontId="31" fillId="8" borderId="32" applyAlignment="1" pivotButton="0" quotePrefix="0" xfId="0">
      <alignment horizontal="center" vertical="center"/>
    </xf>
    <xf numFmtId="0" fontId="11" fillId="0" borderId="34" applyAlignment="1" pivotButton="0" quotePrefix="0" xfId="0">
      <alignment horizontal="left" vertical="center" wrapText="1" indent="1"/>
    </xf>
    <xf numFmtId="0" fontId="10" fillId="0" borderId="34" applyAlignment="1" pivotButton="0" quotePrefix="0" xfId="0">
      <alignment horizontal="left" vertical="center" wrapText="1"/>
    </xf>
    <xf numFmtId="0" fontId="32" fillId="5" borderId="32" applyAlignment="1" pivotButton="0" quotePrefix="0" xfId="0">
      <alignment horizontal="center" vertical="center"/>
    </xf>
    <xf numFmtId="0" fontId="33" fillId="3" borderId="32" applyAlignment="1" pivotButton="0" quotePrefix="0" xfId="0">
      <alignment horizontal="center" vertical="center"/>
    </xf>
    <xf numFmtId="0" fontId="34" fillId="9" borderId="35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indent="1"/>
    </xf>
    <xf numFmtId="0" fontId="35" fillId="10" borderId="35" applyAlignment="1" pivotButton="0" quotePrefix="0" xfId="0">
      <alignment horizontal="center" vertical="center"/>
    </xf>
    <xf numFmtId="0" fontId="36" fillId="11" borderId="35" applyAlignment="1" pivotButton="0" quotePrefix="0" xfId="0">
      <alignment horizontal="center" vertical="center"/>
    </xf>
    <xf numFmtId="0" fontId="37" fillId="12" borderId="35" applyAlignment="1" pivotButton="0" quotePrefix="0" xfId="0">
      <alignment horizontal="center" vertical="center"/>
    </xf>
    <xf numFmtId="0" fontId="20" fillId="13" borderId="35" applyAlignment="1" pivotButton="0" quotePrefix="0" xfId="0">
      <alignment horizontal="center" vertical="center"/>
    </xf>
    <xf numFmtId="0" fontId="38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/>
    </xf>
    <xf numFmtId="0" fontId="0" fillId="5" borderId="0" applyAlignment="1" pivotButton="0" quotePrefix="0" xfId="0">
      <alignment horizontal="left" vertical="center" wrapText="1" indent="1"/>
    </xf>
    <xf numFmtId="0" fontId="21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/>
    </xf>
    <xf numFmtId="0" fontId="5" fillId="2" borderId="2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wrapText="1" indent="1"/>
    </xf>
    <xf numFmtId="165" fontId="5" fillId="2" borderId="2" applyAlignment="1" pivotButton="0" quotePrefix="0" xfId="0">
      <alignment horizontal="left" vertical="center" indent="1"/>
    </xf>
    <xf numFmtId="18" fontId="5" fillId="2" borderId="2" applyAlignment="1" pivotButton="0" quotePrefix="0" xfId="0">
      <alignment horizontal="left" vertical="center" indent="1"/>
    </xf>
    <xf numFmtId="166" fontId="5" fillId="2" borderId="2" applyAlignment="1" pivotButton="0" quotePrefix="0" xfId="0">
      <alignment horizontal="left" vertical="center" indent="1"/>
    </xf>
    <xf numFmtId="0" fontId="7" fillId="3" borderId="2" applyAlignment="1" pivotButton="0" quotePrefix="0" xfId="0">
      <alignment horizontal="left" vertical="center" indent="1"/>
    </xf>
    <xf numFmtId="49" fontId="5" fillId="2" borderId="2" applyAlignment="1" pivotButton="0" quotePrefix="0" xfId="0">
      <alignment horizontal="left" vertical="center" indent="1"/>
    </xf>
    <xf numFmtId="0" fontId="8" fillId="2" borderId="3" applyAlignment="1" pivotButton="0" quotePrefix="0" xfId="0">
      <alignment horizontal="left" vertical="top" wrapText="1" indent="1"/>
    </xf>
    <xf numFmtId="0" fontId="8" fillId="2" borderId="4" applyAlignment="1" pivotButton="0" quotePrefix="0" xfId="0">
      <alignment horizontal="left" vertical="top" wrapText="1" indent="1"/>
    </xf>
    <xf numFmtId="0" fontId="8" fillId="2" borderId="5" applyAlignment="1" pivotButton="0" quotePrefix="0" xfId="0">
      <alignment horizontal="left" vertical="top" wrapText="1" indent="1"/>
    </xf>
    <xf numFmtId="0" fontId="8" fillId="2" borderId="6" applyAlignment="1" pivotButton="0" quotePrefix="0" xfId="0">
      <alignment horizontal="left" vertical="top" wrapText="1" indent="1"/>
    </xf>
    <xf numFmtId="0" fontId="8" fillId="2" borderId="7" applyAlignment="1" pivotButton="0" quotePrefix="0" xfId="0">
      <alignment horizontal="left" vertical="top" wrapText="1" indent="1"/>
    </xf>
    <xf numFmtId="0" fontId="8" fillId="2" borderId="8" applyAlignment="1" pivotButton="0" quotePrefix="0" xfId="0">
      <alignment horizontal="left" vertical="top" wrapText="1" indent="1"/>
    </xf>
    <xf numFmtId="0" fontId="8" fillId="2" borderId="9" applyAlignment="1" pivotButton="0" quotePrefix="0" xfId="0">
      <alignment horizontal="left" vertical="top" wrapText="1" indent="1"/>
    </xf>
    <xf numFmtId="0" fontId="8" fillId="2" borderId="10" applyAlignment="1" pivotButton="0" quotePrefix="0" xfId="0">
      <alignment horizontal="left" vertical="top" wrapText="1" indent="1"/>
    </xf>
    <xf numFmtId="0" fontId="8" fillId="2" borderId="11" applyAlignment="1" pivotButton="0" quotePrefix="0" xfId="0">
      <alignment horizontal="left" vertical="top" wrapText="1" indent="1"/>
    </xf>
    <xf numFmtId="0" fontId="6" fillId="0" borderId="0" pivotButton="0" quotePrefix="0" xfId="0"/>
    <xf numFmtId="0" fontId="0" fillId="4" borderId="12" applyAlignment="1" pivotButton="0" quotePrefix="0" xfId="0">
      <alignment horizontal="center" vertical="center" wrapText="1"/>
    </xf>
    <xf numFmtId="0" fontId="0" fillId="4" borderId="13" applyAlignment="1" pivotButton="0" quotePrefix="0" xfId="0">
      <alignment horizontal="center" vertical="center" wrapText="1"/>
    </xf>
    <xf numFmtId="0" fontId="0" fillId="4" borderId="14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bottom" indent="1"/>
    </xf>
    <xf numFmtId="0" fontId="6" fillId="0" borderId="0" applyAlignment="1" pivotButton="0" quotePrefix="0" xfId="0">
      <alignment horizontal="right" vertical="center" indent="1"/>
    </xf>
    <xf numFmtId="18" fontId="11" fillId="4" borderId="20" applyAlignment="1" pivotButton="0" quotePrefix="0" xfId="0">
      <alignment horizontal="left" vertical="center" indent="1"/>
    </xf>
    <xf numFmtId="0" fontId="0" fillId="4" borderId="15" applyAlignment="1" pivotButton="0" quotePrefix="0" xfId="0">
      <alignment horizontal="center" vertical="center" wrapText="1"/>
    </xf>
    <xf numFmtId="0" fontId="0" fillId="4" borderId="7" applyAlignment="1" pivotButton="0" quotePrefix="0" xfId="0">
      <alignment horizontal="center" vertical="center" wrapText="1"/>
    </xf>
    <xf numFmtId="0" fontId="0" fillId="4" borderId="16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 indent="1"/>
    </xf>
    <xf numFmtId="18" fontId="12" fillId="5" borderId="20" applyAlignment="1" pivotButton="0" quotePrefix="0" xfId="0">
      <alignment horizontal="left" vertical="center" indent="1"/>
    </xf>
    <xf numFmtId="165" fontId="9" fillId="0" borderId="0" applyAlignment="1" pivotButton="0" quotePrefix="0" xfId="0">
      <alignment horizontal="left" vertical="center" indent="1"/>
    </xf>
    <xf numFmtId="0" fontId="0" fillId="4" borderId="17" applyAlignment="1" pivotButton="0" quotePrefix="0" xfId="0">
      <alignment horizontal="center" vertical="center" wrapText="1"/>
    </xf>
    <xf numFmtId="0" fontId="0" fillId="4" borderId="18" applyAlignment="1" pivotButton="0" quotePrefix="0" xfId="0">
      <alignment horizontal="center" vertical="center" wrapText="1"/>
    </xf>
    <xf numFmtId="0" fontId="0" fillId="4" borderId="19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indent="1"/>
    </xf>
    <xf numFmtId="166" fontId="11" fillId="4" borderId="20" applyAlignment="1" pivotButton="0" quotePrefix="0" xfId="0">
      <alignment horizontal="left" vertical="center" indent="1"/>
    </xf>
    <xf numFmtId="0" fontId="13" fillId="0" borderId="0" applyAlignment="1" pivotButton="0" quotePrefix="0" xfId="0">
      <alignment horizontal="right" vertical="top"/>
    </xf>
    <xf numFmtId="0" fontId="14" fillId="4" borderId="21" applyAlignment="1" pivotButton="0" quotePrefix="0" xfId="0">
      <alignment horizontal="left" vertical="bottom" indent="1"/>
    </xf>
    <xf numFmtId="0" fontId="14" fillId="4" borderId="22" applyAlignment="1" pivotButton="0" quotePrefix="0" xfId="0">
      <alignment horizontal="left" vertical="bottom" indent="1"/>
    </xf>
    <xf numFmtId="0" fontId="14" fillId="4" borderId="23" applyAlignment="1" pivotButton="0" quotePrefix="0" xfId="0">
      <alignment horizontal="left" vertical="bottom" indent="1"/>
    </xf>
    <xf numFmtId="0" fontId="14" fillId="4" borderId="26" applyAlignment="1" pivotButton="0" quotePrefix="0" xfId="0">
      <alignment horizontal="left" vertical="bottom" indent="1"/>
    </xf>
    <xf numFmtId="1" fontId="15" fillId="4" borderId="24" applyAlignment="1" pivotButton="0" quotePrefix="0" xfId="0">
      <alignment horizontal="left" vertical="center" indent="1"/>
    </xf>
    <xf numFmtId="1" fontId="15" fillId="4" borderId="7" applyAlignment="1" pivotButton="0" quotePrefix="0" xfId="0">
      <alignment horizontal="left" vertical="center" indent="1"/>
    </xf>
    <xf numFmtId="1" fontId="15" fillId="4" borderId="25" applyAlignment="1" pivotButton="0" quotePrefix="0" xfId="0">
      <alignment horizontal="left" vertical="center" indent="1"/>
    </xf>
    <xf numFmtId="1" fontId="17" fillId="4" borderId="24" applyAlignment="1" pivotButton="0" quotePrefix="0" xfId="0">
      <alignment horizontal="left" vertical="center" indent="1"/>
    </xf>
    <xf numFmtId="18" fontId="15" fillId="4" borderId="24" applyAlignment="1" pivotButton="0" quotePrefix="0" xfId="0">
      <alignment horizontal="left" vertical="center" indent="1"/>
    </xf>
    <xf numFmtId="18" fontId="15" fillId="4" borderId="7" applyAlignment="1" pivotButton="0" quotePrefix="0" xfId="0">
      <alignment horizontal="left" vertical="center" indent="1"/>
    </xf>
    <xf numFmtId="18" fontId="15" fillId="4" borderId="25" applyAlignment="1" pivotButton="0" quotePrefix="0" xfId="0">
      <alignment horizontal="left" vertical="center" indent="1"/>
    </xf>
    <xf numFmtId="0" fontId="15" fillId="4" borderId="24" applyAlignment="1" pivotButton="0" quotePrefix="0" xfId="0">
      <alignment horizontal="left" vertical="center" indent="1"/>
    </xf>
    <xf numFmtId="0" fontId="15" fillId="4" borderId="7" applyAlignment="1" pivotButton="0" quotePrefix="0" xfId="0">
      <alignment horizontal="left" vertical="center" indent="1"/>
    </xf>
    <xf numFmtId="0" fontId="15" fillId="4" borderId="25" applyAlignment="1" pivotButton="0" quotePrefix="0" xfId="0">
      <alignment horizontal="left" vertical="center" indent="1"/>
    </xf>
    <xf numFmtId="1" fontId="15" fillId="4" borderId="27" applyAlignment="1" pivotButton="0" quotePrefix="0" xfId="0">
      <alignment horizontal="left" vertical="center" indent="1"/>
    </xf>
    <xf numFmtId="0" fontId="16" fillId="4" borderId="24" applyAlignment="1" pivotButton="0" quotePrefix="0" xfId="0">
      <alignment horizontal="left" vertical="top" indent="1"/>
    </xf>
    <xf numFmtId="0" fontId="16" fillId="4" borderId="7" applyAlignment="1" pivotButton="0" quotePrefix="0" xfId="0">
      <alignment horizontal="left" vertical="top" indent="1"/>
    </xf>
    <xf numFmtId="0" fontId="16" fillId="4" borderId="25" applyAlignment="1" pivotButton="0" quotePrefix="0" xfId="0">
      <alignment horizontal="left" vertical="top" indent="1"/>
    </xf>
    <xf numFmtId="0" fontId="16" fillId="4" borderId="27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center" vertical="bottom"/>
    </xf>
    <xf numFmtId="0" fontId="19" fillId="0" borderId="0" applyAlignment="1" pivotButton="0" quotePrefix="0" xfId="0">
      <alignment horizontal="center" vertical="bottom"/>
    </xf>
    <xf numFmtId="0" fontId="20" fillId="6" borderId="28" applyAlignment="1" pivotButton="0" quotePrefix="0" xfId="0">
      <alignment horizontal="center" vertical="center" wrapText="1"/>
    </xf>
    <xf numFmtId="0" fontId="20" fillId="6" borderId="29" applyAlignment="1" pivotButton="0" quotePrefix="0" xfId="0">
      <alignment horizontal="left" vertical="center" wrapText="1" indent="1"/>
    </xf>
    <xf numFmtId="0" fontId="20" fillId="6" borderId="29" applyAlignment="1" pivotButton="0" quotePrefix="0" xfId="0">
      <alignment horizontal="center" vertical="center" wrapText="1"/>
    </xf>
    <xf numFmtId="0" fontId="20" fillId="7" borderId="29" applyAlignment="1" pivotButton="0" quotePrefix="0" xfId="0">
      <alignment horizontal="center" vertical="center" wrapText="1"/>
    </xf>
    <xf numFmtId="0" fontId="20" fillId="6" borderId="30" applyAlignment="1" pivotButton="0" quotePrefix="0" xfId="0">
      <alignment horizontal="left" vertical="center" wrapText="1" indent="1"/>
    </xf>
    <xf numFmtId="0" fontId="21" fillId="0" borderId="0" pivotButton="0" quotePrefix="0" xfId="0"/>
    <xf numFmtId="0" fontId="23" fillId="2" borderId="31" applyAlignment="1" pivotButton="0" quotePrefix="0" xfId="0">
      <alignment horizontal="center" vertical="center"/>
    </xf>
    <xf numFmtId="0" fontId="11" fillId="2" borderId="31" applyAlignment="1" pivotButton="0" quotePrefix="0" xfId="0">
      <alignment horizontal="left" vertical="center" wrapText="1" indent="1"/>
    </xf>
    <xf numFmtId="0" fontId="8" fillId="2" borderId="31" applyAlignment="1" pivotButton="0" quotePrefix="0" xfId="0">
      <alignment horizontal="left" vertical="center" wrapText="1" indent="1"/>
    </xf>
    <xf numFmtId="49" fontId="8" fillId="2" borderId="31" applyAlignment="1" pivotButton="0" quotePrefix="0" xfId="0">
      <alignment horizontal="left" vertical="center" indent="1"/>
    </xf>
    <xf numFmtId="18" fontId="8" fillId="2" borderId="31" applyAlignment="1" pivotButton="0" quotePrefix="0" xfId="0">
      <alignment horizontal="center" vertical="center"/>
    </xf>
    <xf numFmtId="1" fontId="8" fillId="2" borderId="31" applyAlignment="1" pivotButton="0" quotePrefix="0" xfId="0">
      <alignment horizontal="center" vertical="center"/>
    </xf>
    <xf numFmtId="18" fontId="22" fillId="3" borderId="31" applyAlignment="1" pivotButton="0" quotePrefix="0" xfId="0">
      <alignment horizontal="center" vertical="center"/>
    </xf>
    <xf numFmtId="0" fontId="22" fillId="3" borderId="31" applyAlignment="1" pivotButton="0" quotePrefix="0" xfId="0">
      <alignment horizontal="center" vertical="center"/>
    </xf>
    <xf numFmtId="0" fontId="23" fillId="3" borderId="31" applyAlignment="1" pivotButton="0" quotePrefix="0" xfId="0">
      <alignment horizontal="center" vertical="center"/>
    </xf>
    <xf numFmtId="0" fontId="25" fillId="2" borderId="31" applyAlignment="1" pivotButton="0" quotePrefix="0" xfId="0">
      <alignment horizontal="center" vertical="center"/>
    </xf>
    <xf numFmtId="0" fontId="24" fillId="2" borderId="31" applyAlignment="1" pivotButton="0" quotePrefix="0" xfId="0">
      <alignment horizontal="left" vertical="center" wrapText="1" indent="1"/>
    </xf>
    <xf numFmtId="0" fontId="23" fillId="4" borderId="31" applyAlignment="1" pivotButton="0" quotePrefix="0" xfId="0">
      <alignment horizontal="center" vertical="center"/>
    </xf>
    <xf numFmtId="0" fontId="11" fillId="4" borderId="31" applyAlignment="1" pivotButton="0" quotePrefix="0" xfId="0">
      <alignment horizontal="left" vertical="center" wrapText="1" indent="1"/>
    </xf>
    <xf numFmtId="0" fontId="8" fillId="4" borderId="31" applyAlignment="1" pivotButton="0" quotePrefix="0" xfId="0">
      <alignment horizontal="left" vertical="center" wrapText="1" indent="1"/>
    </xf>
    <xf numFmtId="49" fontId="8" fillId="4" borderId="31" applyAlignment="1" pivotButton="0" quotePrefix="0" xfId="0">
      <alignment horizontal="left" vertical="center" indent="1"/>
    </xf>
    <xf numFmtId="18" fontId="8" fillId="4" borderId="31" applyAlignment="1" pivotButton="0" quotePrefix="0" xfId="0">
      <alignment horizontal="center" vertical="center"/>
    </xf>
    <xf numFmtId="1" fontId="8" fillId="4" borderId="31" applyAlignment="1" pivotButton="0" quotePrefix="0" xfId="0">
      <alignment horizontal="center" vertical="center"/>
    </xf>
    <xf numFmtId="0" fontId="25" fillId="4" borderId="31" applyAlignment="1" pivotButton="0" quotePrefix="0" xfId="0">
      <alignment horizontal="center" vertical="center"/>
    </xf>
    <xf numFmtId="0" fontId="24" fillId="4" borderId="31" applyAlignment="1" pivotButton="0" quotePrefix="0" xfId="0">
      <alignment horizontal="left" vertical="center" wrapText="1" indent="1"/>
    </xf>
    <xf numFmtId="0" fontId="0" fillId="0" borderId="0" applyAlignment="1" pivotButton="0" quotePrefix="0" xfId="0">
      <alignment horizontal="left" vertical="top" wrapText="1"/>
    </xf>
    <xf numFmtId="0" fontId="16" fillId="0" borderId="0" applyAlignment="1" pivotButton="0" quotePrefix="0" xfId="0">
      <alignment horizontal="left" vertical="center"/>
    </xf>
    <xf numFmtId="0" fontId="21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14" fillId="0" borderId="0" applyAlignment="1" pivotButton="0" quotePrefix="0" xfId="0">
      <alignment horizontal="right" vertical="center" indent="1"/>
    </xf>
    <xf numFmtId="49" fontId="11" fillId="4" borderId="32" applyAlignment="1" pivotButton="0" quotePrefix="0" xfId="0">
      <alignment horizontal="left" vertical="center" indent="1"/>
    </xf>
    <xf numFmtId="0" fontId="15" fillId="0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8" fontId="11" fillId="4" borderId="32" applyAlignment="1" pivotButton="0" quotePrefix="0" xfId="0">
      <alignment horizontal="left" vertical="center" indent="1"/>
    </xf>
    <xf numFmtId="18" fontId="26" fillId="4" borderId="32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/>
    </xf>
    <xf numFmtId="0" fontId="20" fillId="6" borderId="0" applyAlignment="1" pivotButton="0" quotePrefix="0" xfId="0">
      <alignment horizontal="center" vertical="center" wrapText="1"/>
    </xf>
    <xf numFmtId="0" fontId="20" fillId="6" borderId="0" applyAlignment="1" pivotButton="0" quotePrefix="0" xfId="0">
      <alignment horizontal="left" vertical="center" wrapText="1" indent="1"/>
    </xf>
    <xf numFmtId="0" fontId="21" fillId="2" borderId="33" applyAlignment="1" pivotButton="0" quotePrefix="0" xfId="0">
      <alignment horizontal="center" vertical="center"/>
    </xf>
    <xf numFmtId="18" fontId="27" fillId="2" borderId="33" applyAlignment="1" pivotButton="0" quotePrefix="0" xfId="0">
      <alignment horizontal="center" vertical="center"/>
    </xf>
    <xf numFmtId="0" fontId="28" fillId="2" borderId="33" applyAlignment="1" pivotButton="0" quotePrefix="0" xfId="0">
      <alignment horizontal="left" vertical="center" indent="1"/>
    </xf>
    <xf numFmtId="0" fontId="16" fillId="2" borderId="33" applyAlignment="1" pivotButton="0" quotePrefix="0" xfId="0">
      <alignment horizontal="left" vertical="center" indent="1"/>
    </xf>
    <xf numFmtId="0" fontId="27" fillId="2" borderId="33" applyAlignment="1" pivotButton="0" quotePrefix="0" xfId="0">
      <alignment horizontal="left" vertical="center" indent="1"/>
    </xf>
    <xf numFmtId="49" fontId="27" fillId="2" borderId="33" applyAlignment="1" pivotButton="0" quotePrefix="0" xfId="0">
      <alignment horizontal="left" vertical="center" indent="1"/>
    </xf>
    <xf numFmtId="0" fontId="27" fillId="2" borderId="2" applyAlignment="1" pivotButton="0" quotePrefix="0" xfId="0">
      <alignment horizontal="center" vertical="center"/>
    </xf>
    <xf numFmtId="0" fontId="21" fillId="4" borderId="33" applyAlignment="1" pivotButton="0" quotePrefix="0" xfId="0">
      <alignment horizontal="center" vertical="center"/>
    </xf>
    <xf numFmtId="18" fontId="27" fillId="4" borderId="33" applyAlignment="1" pivotButton="0" quotePrefix="0" xfId="0">
      <alignment horizontal="center" vertical="center"/>
    </xf>
    <xf numFmtId="0" fontId="28" fillId="4" borderId="33" applyAlignment="1" pivotButton="0" quotePrefix="0" xfId="0">
      <alignment horizontal="left" vertical="center" indent="1"/>
    </xf>
    <xf numFmtId="0" fontId="16" fillId="4" borderId="33" applyAlignment="1" pivotButton="0" quotePrefix="0" xfId="0">
      <alignment horizontal="left" vertical="center" indent="1"/>
    </xf>
    <xf numFmtId="0" fontId="27" fillId="4" borderId="33" applyAlignment="1" pivotButton="0" quotePrefix="0" xfId="0">
      <alignment horizontal="left" vertical="center" indent="1"/>
    </xf>
    <xf numFmtId="49" fontId="27" fillId="4" borderId="33" applyAlignment="1" pivotButton="0" quotePrefix="0" xfId="0">
      <alignment horizontal="left" vertical="center" indent="1"/>
    </xf>
    <xf numFmtId="0" fontId="1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8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C2410C"/>
      </font>
      <fill>
        <patternFill patternType="solid">
          <fgColor rgb="00FFEDD5"/>
          <bgColor rgb="00FFEDD5"/>
        </patternFill>
      </fill>
    </dxf>
    <dxf>
      <font>
        <color rgb="00C2410C"/>
      </font>
      <fill>
        <patternFill patternType="solid">
          <fgColor rgb="00FFEDD5"/>
          <bgColor rgb="00FFEDD5"/>
        </patternFill>
      </fill>
    </dxf>
    <dxf>
      <font>
        <color rgb="00475569"/>
      </font>
      <fill>
        <patternFill patternType="solid">
          <fgColor rgb="00F1F5F9"/>
          <bgColor rgb="00F1F5F9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FFFFFF"/>
      </font>
      <fill>
        <patternFill patternType="solid">
          <fgColor rgb="0010B981"/>
          <bgColor rgb="0010B98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19050</colOff>
      <row>1</row>
      <rowOff>38100</rowOff>
    </from>
    <ext cx="962025" cy="171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38100</colOff>
      <row>53</row>
      <rowOff>66675</rowOff>
    </from>
    <ext cx="800100" cy="1428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tatracker.io/?utm_source=load-in-template&amp;utm_medium=xlsx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etatracker.io/?utm_source=load-in-template&amp;utm_medium=xlsx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tabColor rgb="0094A3B8"/>
    <outlinePr summaryBelow="1" summaryRight="1"/>
    <pageSetUpPr fitToPage="1"/>
  </sheetPr>
  <dimension ref="B4:D44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5" customWidth="1" min="2" max="2"/>
    <col width="26" customWidth="1" min="3" max="3"/>
    <col width="74" customWidth="1" min="4" max="4"/>
    <col width="2.5" customWidth="1" min="5" max="5"/>
  </cols>
  <sheetData>
    <row r="1" ht="14" customHeight="1"/>
    <row r="2" ht="22" customHeight="1"/>
    <row r="3" ht="8" customHeight="1"/>
    <row r="4" ht="36" customHeight="1">
      <c r="B4" s="1" t="inlineStr">
        <is>
          <t>Event Load-In Schedule</t>
        </is>
      </c>
      <c r="C4" s="1" t="n"/>
      <c r="D4" s="1" t="n"/>
    </row>
    <row r="5" ht="34" customHeight="1">
      <c r="B5" s="2" t="inlineStr">
        <is>
          <t>Plan when every vendor arrives, where they unload, and when setup has to be finished. Works for weddings, corporate events, conferences, festivals, trade shows, and galas.</t>
        </is>
      </c>
      <c r="C5" s="2" t="n"/>
      <c r="D5" s="2" t="n"/>
    </row>
    <row r="7" ht="28" customHeight="1">
      <c r="B7" s="3" t="inlineStr">
        <is>
          <t>QUICK START</t>
        </is>
      </c>
      <c r="C7" s="3" t="n"/>
      <c r="D7" s="3" t="n"/>
    </row>
    <row r="8" ht="34" customHeight="1">
      <c r="B8" s="4" t="n">
        <v>1</v>
      </c>
      <c r="C8" s="5" t="inlineStr">
        <is>
          <t>Fill in Event Info</t>
        </is>
      </c>
      <c r="D8" s="6" t="inlineStr">
        <is>
          <t>Event name, date, venue, and key times. They flow into the Schedule and Call Sheet automatically.</t>
        </is>
      </c>
    </row>
    <row r="9" ht="34" customHeight="1">
      <c r="B9" s="4" t="n">
        <v>2</v>
      </c>
      <c r="C9" s="5" t="inlineStr">
        <is>
          <t>Add your logo</t>
        </is>
      </c>
      <c r="D9" s="6" t="inlineStr">
        <is>
          <t>On the Schedule tab, click the "Your logo here" box, then Insert &gt; Picture and drag your logo over it.</t>
        </is>
      </c>
    </row>
    <row r="10" ht="34" customHeight="1">
      <c r="B10" s="4" t="n">
        <v>3</v>
      </c>
      <c r="C10" s="5" t="inlineStr">
        <is>
          <t>Replace the examples</t>
        </is>
      </c>
      <c r="D10" s="6" t="inlineStr">
        <is>
          <t>Type over the 8 sample vendors (or clear them) and add your own. White cells are for typing. Blue-gray cells calculate on their own, so leave those alone.</t>
        </is>
      </c>
    </row>
    <row r="11" ht="34" customHeight="1">
      <c r="B11" s="4" t="n">
        <v>4</v>
      </c>
      <c r="C11" s="5" t="inlineStr">
        <is>
          <t>Check the flags</t>
        </is>
      </c>
      <c r="D11" s="6" t="inlineStr">
        <is>
          <t>Red or orange cells point at problems: a setup that runs into doors, a vendor arriving before the venue opens, or two vendors at the same dock at the same time.</t>
        </is>
      </c>
    </row>
    <row r="12" ht="34" customHeight="1">
      <c r="B12" s="4" t="n">
        <v>5</v>
      </c>
      <c r="C12" s="5" t="inlineStr">
        <is>
          <t>Send it out</t>
        </is>
      </c>
      <c r="D12" s="6" t="inlineStr">
        <is>
          <t>Share the Schedule (PDF or link) with the venue and every vendor about a week before. Confirm windows the day before and update the Status column.</t>
        </is>
      </c>
    </row>
    <row r="13" ht="34" customHeight="1">
      <c r="B13" s="4" t="n">
        <v>6</v>
      </c>
      <c r="C13" s="5" t="inlineStr">
        <is>
          <t>Print the Call Sheet</t>
        </is>
      </c>
      <c r="D13" s="6" t="inlineStr">
        <is>
          <t>It lists every vendor in arrival order with contact, phone, and entrance. Clipboard ready.</t>
        </is>
      </c>
    </row>
    <row r="15" ht="28" customHeight="1">
      <c r="B15" s="3" t="inlineStr">
        <is>
          <t>TIPS FOR A SMOOTH LOAD-IN</t>
        </is>
      </c>
      <c r="C15" s="3" t="n"/>
      <c r="D15" s="3" t="n"/>
    </row>
    <row r="16" ht="34" customHeight="1">
      <c r="B16" s="7" t="inlineStr">
        <is>
          <t>✓</t>
        </is>
      </c>
      <c r="C16" s="5" t="inlineStr">
        <is>
          <t>Order arrivals by dependency</t>
        </is>
      </c>
      <c r="D16" s="6" t="inlineStr">
        <is>
          <t>Rentals, tent, staging, and power go first. Florals and decor once tables are set. Catering, cake, and entertainment last.</t>
        </is>
      </c>
    </row>
    <row r="17" ht="34" customHeight="1">
      <c r="B17" s="7" t="inlineStr">
        <is>
          <t>✓</t>
        </is>
      </c>
      <c r="C17" s="5" t="inlineStr">
        <is>
          <t>Use windows, not exact times</t>
        </is>
      </c>
      <c r="D17" s="6" t="inlineStr">
        <is>
          <t>A 30 to 60 minute window is realistic with traffic and parking. The template plans around the end of the window, so you see the latest likely finish.</t>
        </is>
      </c>
    </row>
    <row r="18" ht="34" customHeight="1">
      <c r="B18" s="7" t="inlineStr">
        <is>
          <t>✓</t>
        </is>
      </c>
      <c r="C18" s="5" t="inlineStr">
        <is>
          <t>Give every vendor an entrance</t>
        </is>
      </c>
      <c r="D18" s="6" t="inlineStr">
        <is>
          <t>Naming the dock or door keeps vans from stacking up out front, and lets the Dock check spot overlaps.</t>
        </is>
      </c>
    </row>
    <row r="19" ht="34" customHeight="1">
      <c r="B19" s="7" t="inlineStr">
        <is>
          <t>✓</t>
        </is>
      </c>
      <c r="C19" s="5" t="inlineStr">
        <is>
          <t>Protect a buffer before doors</t>
        </is>
      </c>
      <c r="D19" s="6" t="inlineStr">
        <is>
          <t>Aim for setup to wrap 30 to 60 minutes before guests arrive, so there is time for a walkthrough and a final sweep.</t>
        </is>
      </c>
    </row>
    <row r="20" ht="34" customHeight="1">
      <c r="B20" s="7" t="inlineStr">
        <is>
          <t>✓</t>
        </is>
      </c>
      <c r="C20" s="5" t="inlineStr">
        <is>
          <t>Send a week out, confirm the day before</t>
        </is>
      </c>
      <c r="D20" s="6" t="inlineStr">
        <is>
          <t>A quick text to each vendor the day before catches most surprises.</t>
        </is>
      </c>
    </row>
    <row r="21" ht="34" customHeight="1">
      <c r="B21" s="7" t="inlineStr">
        <is>
          <t>✓</t>
        </is>
      </c>
      <c r="C21" s="5" t="inlineStr">
        <is>
          <t>Plan the load-out too</t>
        </is>
      </c>
      <c r="D21" s="6" t="inlineStr">
        <is>
          <t>Venues often charge for overtime. Set a load-out deadline and share it with everyone.</t>
        </is>
      </c>
    </row>
    <row r="23" ht="28" customHeight="1">
      <c r="B23" s="3" t="inlineStr">
        <is>
          <t>WHAT THE CALCULATED COLUMNS MEAN</t>
        </is>
      </c>
      <c r="C23" s="3" t="n"/>
      <c r="D23" s="3" t="n"/>
    </row>
    <row r="24" ht="30" customHeight="1">
      <c r="B24" s="8" t="inlineStr"/>
      <c r="C24" s="5" t="inlineStr">
        <is>
          <t>Setup complete by</t>
        </is>
      </c>
      <c r="D24" s="6" t="inlineStr">
        <is>
          <t>End of the arrival window plus setup time (minutes).</t>
        </is>
      </c>
    </row>
    <row r="25" ht="30" customHeight="1">
      <c r="B25" s="8" t="inlineStr"/>
      <c r="C25" s="5" t="inlineStr">
        <is>
          <t>Buffer before doors</t>
        </is>
      </c>
      <c r="D25" s="6" t="inlineStr">
        <is>
          <t>Time between that finish and guest arrival. Red if it runs past doors, orange if it is under your minimum buffer (set on Event Info).</t>
        </is>
      </c>
    </row>
    <row r="26" ht="30" customHeight="1">
      <c r="B26" s="8" t="inlineStr"/>
      <c r="C26" s="5" t="inlineStr">
        <is>
          <t>Dock check</t>
        </is>
      </c>
      <c r="D26" s="6" t="inlineStr">
        <is>
          <t>"Overlap" when two vendors share an entrance with overlapping windows. Fine for a big loading area, worth a second look for a single dock.</t>
        </is>
      </c>
    </row>
    <row r="27" ht="30" customHeight="1">
      <c r="B27" s="8" t="inlineStr"/>
      <c r="C27" s="5" t="inlineStr">
        <is>
          <t>Summary tiles</t>
        </is>
      </c>
      <c r="D27" s="6" t="inlineStr">
        <is>
          <t>Vendor count, confirmations, first arrival, last setup, buffer to doors, and flags.</t>
        </is>
      </c>
    </row>
    <row r="29" ht="28" customHeight="1">
      <c r="B29" s="3" t="inlineStr">
        <is>
          <t>STATUS COLORS</t>
        </is>
      </c>
      <c r="C29" s="3" t="n"/>
      <c r="D29" s="3" t="n"/>
    </row>
    <row r="30" ht="22" customHeight="1">
      <c r="C30" s="9" t="inlineStr">
        <is>
          <t>Not confirmed</t>
        </is>
      </c>
      <c r="D30" s="10" t="inlineStr">
        <is>
          <t>Sent, but the vendor has not confirmed their window yet.</t>
        </is>
      </c>
    </row>
    <row r="31" ht="22" customHeight="1">
      <c r="C31" s="11" t="inlineStr">
        <is>
          <t>Confirmed</t>
        </is>
      </c>
      <c r="D31" s="10" t="inlineStr">
        <is>
          <t>Vendor confirmed the window, entrance, and setup time.</t>
        </is>
      </c>
    </row>
    <row r="32" ht="22" customHeight="1">
      <c r="C32" s="12" t="inlineStr">
        <is>
          <t>On the way</t>
        </is>
      </c>
      <c r="D32" s="10" t="inlineStr">
        <is>
          <t>Event day: vendor is driving in.</t>
        </is>
      </c>
    </row>
    <row r="33" ht="22" customHeight="1">
      <c r="C33" s="13" t="inlineStr">
        <is>
          <t>Arrived</t>
        </is>
      </c>
      <c r="D33" s="10" t="inlineStr">
        <is>
          <t>Event day: vendor is on site and unloading.</t>
        </is>
      </c>
    </row>
    <row r="34" ht="22" customHeight="1">
      <c r="C34" s="14" t="inlineStr">
        <is>
          <t>Setup complete</t>
        </is>
      </c>
      <c r="D34" s="10" t="inlineStr">
        <is>
          <t>Event day: done and out of the way.</t>
        </is>
      </c>
    </row>
    <row r="36" ht="28" customHeight="1">
      <c r="B36" s="3" t="inlineStr">
        <is>
          <t>GOOD TO KNOW</t>
        </is>
      </c>
      <c r="C36" s="3" t="n"/>
      <c r="D36" s="3" t="n"/>
    </row>
    <row r="37" ht="30" customHeight="1">
      <c r="B37" s="15" t="inlineStr">
        <is>
          <t>·</t>
        </is>
      </c>
      <c r="C37" s="16" t="inlineStr">
        <is>
          <t>All times are for one day (load-in through load-out before midnight). Put overnight load-outs in Notes.</t>
        </is>
      </c>
      <c r="D37" s="16" t="n"/>
    </row>
    <row r="38" ht="30" customHeight="1">
      <c r="B38" s="15" t="inlineStr">
        <is>
          <t>·</t>
        </is>
      </c>
      <c r="C38" s="16" t="inlineStr">
        <is>
          <t>Room for 38 vendors. Need more? Insert rows inside the table and copy a filled row down so the formulas come along. The Call Sheet lists the first 38.</t>
        </is>
      </c>
      <c r="D38" s="16" t="n"/>
    </row>
    <row r="39" ht="30" customHeight="1">
      <c r="B39" s="15" t="inlineStr">
        <is>
          <t>·</t>
        </is>
      </c>
      <c r="C39" s="16" t="inlineStr">
        <is>
          <t>Works in Microsoft Excel, Google Sheets (File &gt; Import), and Apple Numbers. No macros. Nothing is locked.</t>
        </is>
      </c>
      <c r="D39" s="16" t="n"/>
    </row>
    <row r="40" ht="20" customHeight="1">
      <c r="B40" s="15" t="inlineStr">
        <is>
          <t>·</t>
        </is>
      </c>
      <c r="C40" s="16" t="inlineStr">
        <is>
          <t>Hidden helper columns on the Schedule power the Call Sheet. Leave them in place.</t>
        </is>
      </c>
      <c r="D40" s="16" t="n"/>
    </row>
    <row r="41" ht="10" customHeight="1"/>
    <row r="42" ht="40" customHeight="1">
      <c r="B42" s="17" t="inlineStr">
        <is>
          <r>
            <rPr>
              <rFont val="Arial"/>
              <b val="1"/>
              <color rgb="000F172A"/>
              <sz val="10"/>
            </rPr>
            <t xml:space="preserve">On event day, track live vendor ETAs with ETA Tracker: </t>
          </r>
          <r>
            <rPr>
              <rFont val="Arial"/>
              <color rgb="001E293B"/>
              <sz val="10"/>
            </rPr>
            <t xml:space="preserve">send each vendor a link, see who's on the way, running late, or arrived. </t>
          </r>
          <r>
            <rPr>
              <rFont val="Arial"/>
              <b val="1"/>
              <color rgb="002563EB"/>
              <sz val="10"/>
            </rPr>
            <t>etatracker.io</t>
          </r>
        </is>
      </c>
      <c r="C42" s="17" t="n"/>
      <c r="D42" s="17" t="n"/>
    </row>
    <row r="43" ht="10" customHeight="1"/>
    <row r="44">
      <c r="B44" s="18" t="inlineStr">
        <is>
          <t>Made with ETA Tracker · etatracker.io</t>
        </is>
      </c>
    </row>
  </sheetData>
  <mergeCells count="13">
    <mergeCell ref="B42:D42"/>
    <mergeCell ref="B5:D5"/>
    <mergeCell ref="B29:D29"/>
    <mergeCell ref="B36:D36"/>
    <mergeCell ref="C38:D38"/>
    <mergeCell ref="B23:D23"/>
    <mergeCell ref="B4:D4"/>
    <mergeCell ref="C37:D37"/>
    <mergeCell ref="B44:D44"/>
    <mergeCell ref="C40:D40"/>
    <mergeCell ref="B15:D15"/>
    <mergeCell ref="B7:D7"/>
    <mergeCell ref="C39:D39"/>
  </mergeCells>
  <hyperlinks>
    <hyperlink xmlns:r="http://schemas.openxmlformats.org/officeDocument/2006/relationships" ref="B44" r:id="rId1"/>
  </hyperlinks>
  <printOptions horizontalCentered="1"/>
  <pageMargins left="0.5" right="0.5" top="0.5" bottom="0.5" header="0.2" footer="0.25"/>
  <pageSetup orientation="portrait" paperSize="1" fitToHeight="0" fitToWidth="1"/>
  <headerFooter>
    <oddHeader/>
    <oddFooter>&amp;L&amp;"Arial,Regular"&amp;8 &amp;K64748BMade with ETA Tracker · etatracker.io&amp;R&amp;"Arial,Regular"&amp;8 &amp;K64748BPage &amp;P of &amp;N</oddFooter>
    <evenHeader/>
    <evenFooter>&amp;L&amp;"Arial,Regular"&amp;8 &amp;K64748BMade with ETA Tracker · etatracker.io&amp;R&amp;"Arial,Regular"&amp;8 &amp;K64748BPage &amp;P of &amp;N</evenFooter>
    <firstHeader/>
    <firstFooter>&amp;L&amp;"Arial,Regular"&amp;8 &amp;K64748BMade with ETA Tracker · etatracker.io&amp;R&amp;"Arial,Regular"&amp;8 &amp;K64748BPage &amp;P of &amp;N</firstFooter>
  </headerFooter>
  <rowBreaks count="1" manualBreakCount="1">
    <brk id="28" min="0" max="16383" man="1"/>
  </rowBreaks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B2:E35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44" customWidth="1" min="3" max="3"/>
    <col width="3" customWidth="1" min="4" max="4"/>
    <col width="52" customWidth="1" min="5" max="5"/>
    <col width="2.5" customWidth="1" min="6" max="6"/>
  </cols>
  <sheetData>
    <row r="1" ht="14" customHeight="1"/>
    <row r="2" ht="32" customHeight="1">
      <c r="B2" s="19" t="inlineStr">
        <is>
          <t>Event Info</t>
        </is>
      </c>
    </row>
    <row r="3" ht="30" customHeight="1">
      <c r="B3" s="20" t="inlineStr">
        <is>
          <t>Fill this in first. Everything here flows into the Schedule and the Call Sheet. White boxes are for typing; blue-gray boxes calculate on their own.</t>
        </is>
      </c>
    </row>
    <row r="4" ht="10" customHeight="1"/>
    <row r="5" ht="24" customHeight="1">
      <c r="B5" s="3" t="inlineStr">
        <is>
          <t>EVENT</t>
        </is>
      </c>
      <c r="C5" s="3" t="n"/>
      <c r="D5" s="3" t="n"/>
      <c r="E5" s="3" t="n"/>
    </row>
    <row r="6" ht="26" customHeight="1">
      <c r="B6" s="21" t="inlineStr">
        <is>
          <t>Event name</t>
        </is>
      </c>
      <c r="C6" s="22" t="inlineStr">
        <is>
          <t>Spring Celebration Gala</t>
        </is>
      </c>
      <c r="E6" s="23" t="inlineStr">
        <is>
          <t>Shows at the top of the Schedule and Call Sheet.</t>
        </is>
      </c>
    </row>
    <row r="7" ht="26" customHeight="1">
      <c r="B7" s="21" t="inlineStr">
        <is>
          <t>Event date</t>
        </is>
      </c>
      <c r="C7" s="24" t="n">
        <v>46522</v>
      </c>
      <c r="E7" s="23" t="inlineStr">
        <is>
          <t>Type it as a date, for example 5/15/2027.</t>
        </is>
      </c>
    </row>
    <row r="8" ht="26" customHeight="1">
      <c r="B8" s="21" t="inlineStr">
        <is>
          <t>Event type</t>
        </is>
      </c>
      <c r="C8" s="22" t="inlineStr">
        <is>
          <t>Gala / fundraiser</t>
        </is>
      </c>
      <c r="E8" s="23" t="inlineStr">
        <is>
          <t>Optional. Pick from the list or type your own.</t>
        </is>
      </c>
    </row>
    <row r="10" ht="24" customHeight="1">
      <c r="B10" s="3" t="inlineStr">
        <is>
          <t>VENUE</t>
        </is>
      </c>
      <c r="C10" s="3" t="n"/>
      <c r="D10" s="3" t="n"/>
      <c r="E10" s="3" t="n"/>
    </row>
    <row r="11" ht="26" customHeight="1">
      <c r="B11" s="21" t="inlineStr">
        <is>
          <t>Venue name</t>
        </is>
      </c>
      <c r="C11" s="22" t="inlineStr">
        <is>
          <t>The Foundry Hall</t>
        </is>
      </c>
    </row>
    <row r="12" ht="26" customHeight="1">
      <c r="B12" s="21" t="inlineStr">
        <is>
          <t>Venue address</t>
        </is>
      </c>
      <c r="C12" s="22" t="inlineStr">
        <is>
          <t>415 Riverside Drive, Springfield</t>
        </is>
      </c>
      <c r="E12" s="23" t="inlineStr">
        <is>
          <t>Vendors will look for this, so include the city.</t>
        </is>
      </c>
    </row>
    <row r="14" ht="24" customHeight="1">
      <c r="B14" s="3" t="inlineStr">
        <is>
          <t>TIMELINE (ALL TIMES ON THE EVENT DAY)</t>
        </is>
      </c>
      <c r="C14" s="3" t="n"/>
      <c r="D14" s="3" t="n"/>
      <c r="E14" s="3" t="n"/>
    </row>
    <row r="15" ht="26" customHeight="1">
      <c r="B15" s="21" t="inlineStr">
        <is>
          <t>Load-in access opens</t>
        </is>
      </c>
      <c r="C15" s="25" t="n">
        <v>0.2916666666666667</v>
      </c>
      <c r="E15" s="23" t="inlineStr">
        <is>
          <t>Earliest a vendor can get in. Arrivals before this get flagged.</t>
        </is>
      </c>
    </row>
    <row r="16" ht="26" customHeight="1">
      <c r="B16" s="21" t="inlineStr">
        <is>
          <t>Guest arrival / doors</t>
        </is>
      </c>
      <c r="C16" s="25" t="n">
        <v>0.75</v>
      </c>
      <c r="E16" s="23" t="inlineStr">
        <is>
          <t>Every setup is measured against this time.</t>
        </is>
      </c>
    </row>
    <row r="17" ht="26" customHeight="1">
      <c r="B17" s="21" t="inlineStr">
        <is>
          <t>Event ends</t>
        </is>
      </c>
      <c r="C17" s="25" t="n">
        <v>0.9166666666666666</v>
      </c>
    </row>
    <row r="18" ht="26" customHeight="1">
      <c r="B18" s="21" t="inlineStr">
        <is>
          <t>Load-out deadline</t>
        </is>
      </c>
      <c r="C18" s="25" t="n">
        <v>0.9791666666666666</v>
      </c>
      <c r="E18" s="23" t="inlineStr">
        <is>
          <t>Latest the venue allows. Later load-outs get flagged.</t>
        </is>
      </c>
    </row>
    <row r="19" ht="26" customHeight="1">
      <c r="B19" s="21" t="inlineStr">
        <is>
          <t>Minimum buffer before doors</t>
        </is>
      </c>
      <c r="C19" s="26" t="n">
        <v>30</v>
      </c>
      <c r="E19" s="23" t="inlineStr">
        <is>
          <t>Setups that finish closer to doors than this are flagged orange. 30 to 60 is typical.</t>
        </is>
      </c>
    </row>
    <row r="20" ht="26" customHeight="1">
      <c r="B20" s="21" t="inlineStr">
        <is>
          <t>Load-in window (auto)</t>
        </is>
      </c>
      <c r="C20" s="27">
        <f>IF(OR('Event Info'!$C$15="",'Event Info'!$C$16=""),"",IF('Event Info'!$C$16&lt;='Event Info'!$C$15,"Check times",IF(ROUND(('Event Info'!$C$16-'Event Info'!$C$15)*1440,0)&lt;0,"Late ","")&amp;IF(ABS(ROUND(('Event Info'!$C$16-'Event Info'!$C$15)*1440,0))&gt;=60,INT(ABS(ROUND(('Event Info'!$C$16-'Event Info'!$C$15)*1440,0))/60)&amp;"h "&amp;TEXT(MOD(ABS(ROUND(('Event Info'!$C$16-'Event Info'!$C$15)*1440,0)),60),"00")&amp;"m",ABS(ROUND(('Event Info'!$C$16-'Event Info'!$C$15)*1440,0))&amp;"m")))</f>
        <v/>
      </c>
      <c r="E20" s="23" t="inlineStr">
        <is>
          <t>Time between access opening and doors.</t>
        </is>
      </c>
    </row>
    <row r="22" ht="24" customHeight="1">
      <c r="B22" s="3" t="inlineStr">
        <is>
          <t>CONTACTS</t>
        </is>
      </c>
      <c r="C22" s="3" t="n"/>
      <c r="D22" s="3" t="n"/>
      <c r="E22" s="3" t="n"/>
    </row>
    <row r="23" ht="26" customHeight="1">
      <c r="B23" s="21" t="inlineStr">
        <is>
          <t>Planner / lead name</t>
        </is>
      </c>
      <c r="C23" s="22" t="inlineStr">
        <is>
          <t>Jordan Ellis</t>
        </is>
      </c>
      <c r="E23" s="23" t="inlineStr">
        <is>
          <t>Appears on the Call Sheet.</t>
        </is>
      </c>
    </row>
    <row r="24" ht="26" customHeight="1">
      <c r="B24" s="21" t="inlineStr">
        <is>
          <t>Planner phone</t>
        </is>
      </c>
      <c r="C24" s="28" t="inlineStr">
        <is>
          <t>(555) 010-2040</t>
        </is>
      </c>
    </row>
    <row r="25" ht="26" customHeight="1">
      <c r="B25" s="21" t="inlineStr">
        <is>
          <t>Venue contact name</t>
        </is>
      </c>
      <c r="C25" s="22" t="inlineStr">
        <is>
          <t>Priya Shah, venue manager</t>
        </is>
      </c>
    </row>
    <row r="26" ht="26" customHeight="1">
      <c r="B26" s="21" t="inlineStr">
        <is>
          <t>Venue contact phone</t>
        </is>
      </c>
      <c r="C26" s="28" t="inlineStr">
        <is>
          <t>(555) 010-3355</t>
        </is>
      </c>
    </row>
    <row r="28" ht="24" customHeight="1">
      <c r="B28" s="3" t="inlineStr">
        <is>
          <t>NOTES FOR VENDORS</t>
        </is>
      </c>
      <c r="C28" s="3" t="n"/>
      <c r="D28" s="3" t="n"/>
      <c r="E28" s="3" t="n"/>
    </row>
    <row r="29" ht="18" customHeight="1">
      <c r="B29" s="29" t="inlineStr">
        <is>
          <t>Vendor parking on Riverside Drive, not the guest lot. Freight elevator runs 7:00 AM to 11:30 PM. Certificates of insurance (COI) due from every vendor by May 1. No open flame inside. Venue Wi-Fi: FoundryGuest.</t>
        </is>
      </c>
      <c r="C29" s="30" t="n"/>
      <c r="D29" s="30" t="n"/>
      <c r="E29" s="31" t="n"/>
    </row>
    <row r="30" ht="18" customHeight="1">
      <c r="B30" s="32" t="n"/>
      <c r="C30" s="33" t="n"/>
      <c r="D30" s="33" t="n"/>
      <c r="E30" s="34" t="n"/>
    </row>
    <row r="31" ht="18" customHeight="1">
      <c r="B31" s="32" t="n"/>
      <c r="C31" s="33" t="n"/>
      <c r="D31" s="33" t="n"/>
      <c r="E31" s="34" t="n"/>
    </row>
    <row r="32" ht="18" customHeight="1">
      <c r="B32" s="32" t="n"/>
      <c r="C32" s="33" t="n"/>
      <c r="D32" s="33" t="n"/>
      <c r="E32" s="34" t="n"/>
    </row>
    <row r="33" ht="18" customHeight="1">
      <c r="B33" s="32" t="n"/>
      <c r="C33" s="33" t="n"/>
      <c r="D33" s="33" t="n"/>
      <c r="E33" s="34" t="n"/>
    </row>
    <row r="34" ht="18" customHeight="1">
      <c r="B34" s="35" t="n"/>
      <c r="C34" s="36" t="n"/>
      <c r="D34" s="36" t="n"/>
      <c r="E34" s="37" t="n"/>
    </row>
    <row r="35" ht="20" customHeight="1">
      <c r="B35" s="38" t="inlineStr">
        <is>
          <t>Parking, freight elevator hours, insurance (COI) deadlines, venue rules, Wi-Fi.</t>
        </is>
      </c>
    </row>
  </sheetData>
  <mergeCells count="7">
    <mergeCell ref="B29:E34"/>
    <mergeCell ref="B3:E3"/>
    <mergeCell ref="B5:E5"/>
    <mergeCell ref="B10:E10"/>
    <mergeCell ref="B28:E28"/>
    <mergeCell ref="B22:E22"/>
    <mergeCell ref="B14:E14"/>
  </mergeCells>
  <dataValidations count="4">
    <dataValidation sqref="C15:C18" showDropDown="0" showInputMessage="0" showErrorMessage="1" allowBlank="1" errorTitle="Enter a time" error="Enter a time like 7:30 AM or 14:30 (one day only)." type="decimal" operator="between">
      <formula1>0</formula1>
      <formula2>0.99999</formula2>
    </dataValidation>
    <dataValidation sqref="C19" showDropDown="0" showInputMessage="0" showErrorMessage="1" allowBlank="1" errorTitle="Minutes" error="Enter a whole number of minutes between 0 and 240 (for example 90 for an hour and a half)." type="whole" operator="between">
      <formula1>0</formula1>
      <formula2>240</formula2>
    </dataValidation>
    <dataValidation sqref="C8" showDropDown="0" showInputMessage="0" showErrorMessage="1" allowBlank="1" errorTitle="Event type" error="That is not one of the listed options. Keep it anyway?" type="list" errorStyle="warning">
      <formula1>"Wedding,Corporate event,Conference,Festival,Trade show,Gala / fundraiser,Party / celebration,Other"</formula1>
    </dataValidation>
    <dataValidation sqref="C7" showDropDown="0" showInputMessage="0" showErrorMessage="1" allowBlank="1" errorTitle="Enter a date" error="Enter the event date, for example 5/15/2027." type="date" operator="greaterThan">
      <formula1>36526</formula1>
    </dataValidation>
  </dataValidations>
  <printOptions horizontalCentered="1"/>
  <pageMargins left="0.3" right="0.3" top="0.45" bottom="0.5" header="0.2" footer="0.25"/>
  <pageSetup orientation="portrait" paperSize="1" fitToHeight="1" fitToWidth="1"/>
  <headerFooter>
    <oddHeader/>
    <oddFooter>&amp;L&amp;"Arial,Regular"&amp;8 &amp;K64748BMade with ETA Tracker · etatracker.io&amp;R&amp;"Arial,Regular"&amp;8 &amp;K64748BPage &amp;P of &amp;N</oddFooter>
    <evenHeader/>
    <evenFooter>&amp;L&amp;"Arial,Regular"&amp;8 &amp;K64748BMade with ETA Tracker · etatracker.io&amp;R&amp;"Arial,Regular"&amp;8 &amp;K64748BPage &amp;P of &amp;N</evenFooter>
    <firstHeader/>
    <firstFooter>&amp;L&amp;"Arial,Regular"&amp;8 &amp;K64748BMade with ETA Tracker · etatracker.io&amp;R&amp;"Arial,Regular"&amp;8 &amp;K64748BPage &amp;P of &amp;N</firstFooter>
  </headerFooter>
</worksheet>
</file>

<file path=xl/worksheets/sheet3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T54"/>
  <sheetViews>
    <sheetView showGridLines="0" tabSelected="1" zoomScale="100" workbookViewId="0">
      <pane xSplit="3" ySplit="12" topLeftCell="D13" activePane="bottomRight" state="frozen"/>
      <selection pane="topRight" activeCell="C13" sqref="C13"/>
      <selection pane="bottomLeft"/>
      <selection pane="bottomRight" activeCell="A1" sqref="A1"/>
    </sheetView>
  </sheetViews>
  <sheetFormatPr baseColWidth="8" defaultRowHeight="15"/>
  <cols>
    <col width="1.5" customWidth="1" min="1" max="1"/>
    <col width="4.5" customWidth="1" min="2" max="2"/>
    <col width="27" customWidth="1" min="3" max="3"/>
    <col width="19" customWidth="1" min="4" max="4"/>
    <col width="17" customWidth="1" min="5" max="5"/>
    <col width="14.5" customWidth="1" min="6" max="6"/>
    <col width="9.5" customWidth="1" min="7" max="7"/>
    <col width="9.5" customWidth="1" min="8" max="8"/>
    <col width="17" customWidth="1" min="9" max="9"/>
    <col width="8.5" customWidth="1" min="10" max="10"/>
    <col width="10.5" customWidth="1" min="11" max="11"/>
    <col width="10.5" customWidth="1" min="12" max="12"/>
    <col width="9" customWidth="1" min="13" max="13"/>
    <col width="9.5" customWidth="1" min="14" max="14"/>
    <col width="13.5" customWidth="1" min="15" max="15"/>
    <col width="30" customWidth="1" min="16" max="16"/>
    <col width="1.5" customWidth="1" min="17" max="17"/>
    <col hidden="1" width="2" customWidth="1" min="18" max="18"/>
    <col hidden="1" width="10" customWidth="1" min="19" max="19"/>
    <col hidden="1" width="10" customWidth="1" min="20" max="20"/>
  </cols>
  <sheetData>
    <row r="1" ht="10" customHeight="1"/>
    <row r="2" ht="18" customHeight="1">
      <c r="B2" s="39" t="inlineStr">
        <is>
          <r>
            <rPr>
              <rFont val="Arial"/>
              <b val="1"/>
              <color rgb="0094A3B8"/>
              <sz val="11"/>
            </rPr>
            <t>YOUR LOGO HERE</t>
          </r>
          <r>
            <rPr>
              <rFont val="Arial"/>
              <color rgb="0094A3B8"/>
              <sz val="8"/>
            </rPr>
            <t xml:space="preserve">
Insert &gt; Picture, then drag your logo over this box</t>
          </r>
        </is>
      </c>
      <c r="C2" s="40" t="n"/>
      <c r="D2" s="41" t="n"/>
      <c r="E2" s="42" t="inlineStr">
        <is>
          <t>LOAD-IN SCHEDULE</t>
        </is>
      </c>
      <c r="M2" s="43" t="inlineStr">
        <is>
          <t>Load-in access opens</t>
        </is>
      </c>
      <c r="N2" s="43" t="n"/>
      <c r="O2" s="43" t="n"/>
      <c r="P2" s="44">
        <f>IF('Event Info'!$C$15="","",'Event Info'!$C$15)</f>
        <v/>
      </c>
    </row>
    <row r="3" ht="30" customHeight="1">
      <c r="B3" s="45" t="n"/>
      <c r="C3" s="46" t="n"/>
      <c r="D3" s="47" t="n"/>
      <c r="E3" s="48">
        <f>IF('Event Info'!$C$6="","Your event name",'Event Info'!$C$6)</f>
        <v/>
      </c>
      <c r="F3" s="48" t="n"/>
      <c r="G3" s="48" t="n"/>
      <c r="H3" s="48" t="n"/>
      <c r="I3" s="48" t="n"/>
      <c r="J3" s="48" t="n"/>
      <c r="K3" s="48" t="n"/>
      <c r="L3" s="48" t="n"/>
      <c r="M3" s="43" t="inlineStr">
        <is>
          <t>Guest arrival / doors</t>
        </is>
      </c>
      <c r="N3" s="43" t="n"/>
      <c r="O3" s="43" t="n"/>
      <c r="P3" s="49">
        <f>IF('Event Info'!$C$16="","",'Event Info'!$C$16)</f>
        <v/>
      </c>
    </row>
    <row r="4" ht="18" customHeight="1">
      <c r="B4" s="45" t="n"/>
      <c r="C4" s="46" t="n"/>
      <c r="D4" s="47" t="n"/>
      <c r="E4" s="50">
        <f>IF('Event Info'!$C$7="","",'Event Info'!$C$7)</f>
        <v/>
      </c>
      <c r="F4" s="50" t="n"/>
      <c r="G4" s="50" t="n"/>
      <c r="H4" s="50" t="n"/>
      <c r="I4" s="50" t="n"/>
      <c r="J4" s="50" t="n"/>
      <c r="K4" s="50" t="n"/>
      <c r="L4" s="50" t="n"/>
      <c r="M4" s="43" t="inlineStr">
        <is>
          <t>Event ends</t>
        </is>
      </c>
      <c r="N4" s="43" t="n"/>
      <c r="O4" s="43" t="n"/>
      <c r="P4" s="44">
        <f>IF('Event Info'!$C$17="","",'Event Info'!$C$17)</f>
        <v/>
      </c>
    </row>
    <row r="5" ht="18" customHeight="1">
      <c r="B5" s="45" t="n"/>
      <c r="C5" s="46" t="n"/>
      <c r="D5" s="47" t="n"/>
      <c r="E5" s="10">
        <f>IF('Event Info'!$C$11="","",'Event Info'!$C$11)</f>
        <v/>
      </c>
      <c r="F5" s="10" t="n"/>
      <c r="G5" s="10" t="n"/>
      <c r="H5" s="10" t="n"/>
      <c r="I5" s="10" t="n"/>
      <c r="J5" s="10" t="n"/>
      <c r="K5" s="10" t="n"/>
      <c r="L5" s="10" t="n"/>
      <c r="M5" s="43" t="inlineStr">
        <is>
          <t>Load-out deadline</t>
        </is>
      </c>
      <c r="N5" s="43" t="n"/>
      <c r="O5" s="43" t="n"/>
      <c r="P5" s="44">
        <f>IF('Event Info'!$C$18="","",'Event Info'!$C$18)</f>
        <v/>
      </c>
    </row>
    <row r="6" ht="18" customHeight="1">
      <c r="B6" s="51" t="n"/>
      <c r="C6" s="52" t="n"/>
      <c r="D6" s="53" t="n"/>
      <c r="E6" s="54">
        <f>IF('Event Info'!$C$12="","",'Event Info'!$C$12)</f>
        <v/>
      </c>
      <c r="F6" s="54" t="n"/>
      <c r="G6" s="54" t="n"/>
      <c r="H6" s="54" t="n"/>
      <c r="I6" s="54" t="n"/>
      <c r="J6" s="54" t="n"/>
      <c r="K6" s="54" t="n"/>
      <c r="L6" s="54" t="n"/>
      <c r="M6" s="43" t="inlineStr">
        <is>
          <t>Minimum buffer</t>
        </is>
      </c>
      <c r="N6" s="43" t="n"/>
      <c r="O6" s="43" t="n"/>
      <c r="P6" s="55">
        <f>IF('Event Info'!$C$19="","",'Event Info'!$C$19)</f>
        <v/>
      </c>
    </row>
    <row r="7" ht="12" customHeight="1">
      <c r="M7" s="56" t="inlineStr">
        <is>
          <t>Edit these on the Event Info tab</t>
        </is>
      </c>
    </row>
    <row r="8" ht="16" customHeight="1">
      <c r="B8" s="57" t="inlineStr">
        <is>
          <t>VENDORS</t>
        </is>
      </c>
      <c r="C8" s="58" t="n"/>
      <c r="D8" s="59" t="n"/>
      <c r="E8" s="57" t="inlineStr">
        <is>
          <t>CONFIRMED</t>
        </is>
      </c>
      <c r="F8" s="59" t="n"/>
      <c r="G8" s="57" t="inlineStr">
        <is>
          <t>FIRST ARRIVAL</t>
        </is>
      </c>
      <c r="H8" s="58" t="n"/>
      <c r="I8" s="59" t="n"/>
      <c r="J8" s="57" t="inlineStr">
        <is>
          <t>LAST SETUP DONE</t>
        </is>
      </c>
      <c r="K8" s="58" t="n"/>
      <c r="L8" s="59" t="n"/>
      <c r="M8" s="57" t="inlineStr">
        <is>
          <t>BUFFER TO DOORS</t>
        </is>
      </c>
      <c r="N8" s="58" t="n"/>
      <c r="O8" s="59" t="n"/>
      <c r="P8" s="60" t="inlineStr">
        <is>
          <t>FLAGS TO REVIEW</t>
        </is>
      </c>
    </row>
    <row r="9" ht="26" customHeight="1">
      <c r="B9" s="61">
        <f>COUNTA($C$13:$C$50)</f>
        <v/>
      </c>
      <c r="C9" s="62" t="n"/>
      <c r="D9" s="63" t="n"/>
      <c r="E9" s="64">
        <f>COUNTIF($O$13:$O$50,"Confirmed")+COUNTIF($O$13:$O$50,"On the way")+COUNTIF($O$13:$O$50,"Arrived")+COUNTIF($O$13:$O$50,"Setup complete")</f>
        <v/>
      </c>
      <c r="F9" s="63" t="n"/>
      <c r="G9" s="65">
        <f>IF(COUNT($G$13:$G$50)=0,"",MIN($G$13:$G$50))</f>
        <v/>
      </c>
      <c r="H9" s="66" t="n"/>
      <c r="I9" s="67" t="n"/>
      <c r="J9" s="65">
        <f>IF(COUNT($K$13:$K$50)=0,"",MAX($K$13:$K$50))</f>
        <v/>
      </c>
      <c r="K9" s="66" t="n"/>
      <c r="L9" s="67" t="n"/>
      <c r="M9" s="68">
        <f>IF(ISNUMBER($T$9),IF($T$9&lt;0,"Late ","")&amp;IF(ABS($T$9)&gt;=60,INT(ABS($T$9)/60)&amp;"h "&amp;TEXT(MOD(ABS($T$9),60),"00")&amp;"m",ABS($T$9)&amp;"m"),"")</f>
        <v/>
      </c>
      <c r="N9" s="69" t="n"/>
      <c r="O9" s="70" t="n"/>
      <c r="P9" s="71">
        <f>COUNTIF($T$13:$T$50,"&lt;"&amp;IF(ISNUMBER($P$6),$P$6,0))+COUNTIF($M$13:$M$50,"Overlap")+IF(ISNUMBER($P$2),COUNTIF($G$13:$G$50,"&lt;"&amp;($P$2-1/2880)),0)+IF(ISNUMBER($P$5),COUNTIF($N$13:$N$50,"&gt;"&amp;($P$5+1/2880)),0)</f>
        <v/>
      </c>
      <c r="T9">
        <f>IF(OR(COUNT($K$13:$K$50)=0,NOT(ISNUMBER($P$3))),"",ROUND(($P$3-MAX($K$13:$K$50))*1440,0))</f>
        <v/>
      </c>
    </row>
    <row r="10" ht="16" customHeight="1">
      <c r="B10" s="72">
        <f>"on the schedule"</f>
        <v/>
      </c>
      <c r="C10" s="73" t="n"/>
      <c r="D10" s="74" t="n"/>
      <c r="E10" s="72">
        <f>IF(COUNTA($C$13:$C$50)=0,"","of "&amp;COUNTA($C$13:$C$50)&amp;" vendors")</f>
        <v/>
      </c>
      <c r="F10" s="74" t="n"/>
      <c r="G10" s="72">
        <f>"earliest window opens"</f>
        <v/>
      </c>
      <c r="H10" s="73" t="n"/>
      <c r="I10" s="74" t="n"/>
      <c r="J10" s="72">
        <f>"latest finish, all vendors"</f>
        <v/>
      </c>
      <c r="K10" s="73" t="n"/>
      <c r="L10" s="74" t="n"/>
      <c r="M10" s="72">
        <f>"last setup to guest arrival"</f>
        <v/>
      </c>
      <c r="N10" s="73" t="n"/>
      <c r="O10" s="74" t="n"/>
      <c r="P10" s="75">
        <f>"late, tight, dock, access"</f>
        <v/>
      </c>
    </row>
    <row r="11" ht="16" customHeight="1">
      <c r="G11" s="76" t="inlineStr">
        <is>
          <t>ARRIVAL WINDOW</t>
        </is>
      </c>
      <c r="H11" s="76" t="n"/>
      <c r="K11" s="77" t="inlineStr">
        <is>
          <t>CALCULATED FOR YOU</t>
        </is>
      </c>
      <c r="L11" s="77" t="n"/>
      <c r="M11" s="77" t="n"/>
    </row>
    <row r="12" ht="34" customHeight="1">
      <c r="B12" s="78" t="inlineStr">
        <is>
          <t>#</t>
        </is>
      </c>
      <c r="C12" s="79" t="inlineStr">
        <is>
          <t>Vendor / company</t>
        </is>
      </c>
      <c r="D12" s="79" t="inlineStr">
        <is>
          <t>Category</t>
        </is>
      </c>
      <c r="E12" s="79" t="inlineStr">
        <is>
          <t>Day-of contact</t>
        </is>
      </c>
      <c r="F12" s="79" t="inlineStr">
        <is>
          <t>Phone</t>
        </is>
      </c>
      <c r="G12" s="80" t="inlineStr">
        <is>
          <t>From</t>
        </is>
      </c>
      <c r="H12" s="80" t="inlineStr">
        <is>
          <t>To</t>
        </is>
      </c>
      <c r="I12" s="79" t="inlineStr">
        <is>
          <t>Entrance / dock</t>
        </is>
      </c>
      <c r="J12" s="80" t="inlineStr">
        <is>
          <t>Setup time (min)</t>
        </is>
      </c>
      <c r="K12" s="81" t="inlineStr">
        <is>
          <t>Setup complete by</t>
        </is>
      </c>
      <c r="L12" s="81" t="inlineStr">
        <is>
          <t>Buffer before doors</t>
        </is>
      </c>
      <c r="M12" s="81" t="inlineStr">
        <is>
          <t>Dock check</t>
        </is>
      </c>
      <c r="N12" s="80" t="inlineStr">
        <is>
          <t>Load-out</t>
        </is>
      </c>
      <c r="O12" s="79" t="inlineStr">
        <is>
          <t>Status</t>
        </is>
      </c>
      <c r="P12" s="82" t="inlineStr">
        <is>
          <t>Notes</t>
        </is>
      </c>
      <c r="S12" s="83" t="inlineStr">
        <is>
          <t>Sort key</t>
        </is>
      </c>
      <c r="T12" s="83" t="inlineStr">
        <is>
          <t>Buffer min</t>
        </is>
      </c>
    </row>
    <row r="13" ht="26" customHeight="1">
      <c r="B13" s="84">
        <f>IF(C13="","",COUNTA($C$13:C13))</f>
        <v/>
      </c>
      <c r="C13" s="85" t="inlineStr">
        <is>
          <t>Summit Party Rentals</t>
        </is>
      </c>
      <c r="D13" s="86" t="inlineStr">
        <is>
          <t>Rentals</t>
        </is>
      </c>
      <c r="E13" s="86" t="inlineStr">
        <is>
          <t>Dana Ruiz</t>
        </is>
      </c>
      <c r="F13" s="87" t="inlineStr">
        <is>
          <t>(555) 010-0142</t>
        </is>
      </c>
      <c r="G13" s="88" t="n">
        <v>0.2916666666666667</v>
      </c>
      <c r="H13" s="88" t="n">
        <v>0.3125</v>
      </c>
      <c r="I13" s="86" t="inlineStr">
        <is>
          <t>Loading dock A</t>
        </is>
      </c>
      <c r="J13" s="89" t="n">
        <v>120</v>
      </c>
      <c r="K13" s="90">
        <f>IF(OR(J13="",AND(G13="",H13="")),"",IF(AND(ISNUMBER(J13),OR(G13="",ISNUMBER(G13)),OR(H13="",ISNUMBER(H13))),IF(H13&lt;&gt;"",H13,G13)+J13/1440,"Check times"))</f>
        <v/>
      </c>
      <c r="L13" s="91">
        <f>IF(ISNUMBER(T13),IF(T13&lt;0,"Late ","")&amp;IF(ABS(T13)&gt;=60,INT(ABS(T13)/60)&amp;"h "&amp;TEXT(MOD(ABS(T13),60),"00")&amp;"m",ABS(T13)&amp;"m"),"")</f>
        <v/>
      </c>
      <c r="M13" s="92">
        <f>IF(OR(I13="",NOT(ISNUMBER(G13)),NOT(ISNUMBER(H13))),"",IF(COUNTIFS($I$13:$I$50,I13,$G$13:$G$50,"&lt;"&amp;(H13-1/2880),$H$13:$H$50,"&gt;"&amp;(G13+1/2880))-IF(H13-G13&gt;1/1440,1,0)&gt;0,"Overlap","OK"))</f>
        <v/>
      </c>
      <c r="N13" s="88" t="n">
        <v>0.9583333333333334</v>
      </c>
      <c r="O13" s="93" t="inlineStr">
        <is>
          <t>Confirmed</t>
        </is>
      </c>
      <c r="P13" s="94" t="inlineStr">
        <is>
          <t>Tables, chairs, linens. Dock A must be clear by 7:00 AM.</t>
        </is>
      </c>
      <c r="S13">
        <f>IF(C13="","",IF(ISNUMBER(G13),G13,IF(ISNUMBER(H13),H13,1))+ROW()/1000000)</f>
        <v/>
      </c>
      <c r="T13">
        <f>IF(OR(NOT(ISNUMBER(K13)),NOT(ISNUMBER($P$3))),"",ROUND(($P$3-K13)*1440,0))</f>
        <v/>
      </c>
    </row>
    <row r="14" ht="26" customHeight="1">
      <c r="B14" s="95">
        <f>IF(C14="","",COUNTA($C$13:C14))</f>
        <v/>
      </c>
      <c r="C14" s="96" t="inlineStr">
        <is>
          <t>Brightline Staging &amp; Lighting</t>
        </is>
      </c>
      <c r="D14" s="97" t="inlineStr">
        <is>
          <t>Lighting</t>
        </is>
      </c>
      <c r="E14" s="97" t="inlineStr">
        <is>
          <t>Marcus Webb</t>
        </is>
      </c>
      <c r="F14" s="98" t="inlineStr">
        <is>
          <t>(555) 010-0178</t>
        </is>
      </c>
      <c r="G14" s="99" t="n">
        <v>0.3333333333333333</v>
      </c>
      <c r="H14" s="99" t="n">
        <v>0.3541666666666667</v>
      </c>
      <c r="I14" s="97" t="inlineStr">
        <is>
          <t>Loading dock A</t>
        </is>
      </c>
      <c r="J14" s="100" t="n">
        <v>180</v>
      </c>
      <c r="K14" s="90">
        <f>IF(OR(J14="",AND(G14="",H14="")),"",IF(AND(ISNUMBER(J14),OR(G14="",ISNUMBER(G14)),OR(H14="",ISNUMBER(H14))),IF(H14&lt;&gt;"",H14,G14)+J14/1440,"Check times"))</f>
        <v/>
      </c>
      <c r="L14" s="91">
        <f>IF(ISNUMBER(T14),IF(T14&lt;0,"Late ","")&amp;IF(ABS(T14)&gt;=60,INT(ABS(T14)/60)&amp;"h "&amp;TEXT(MOD(ABS(T14),60),"00")&amp;"m",ABS(T14)&amp;"m"),"")</f>
        <v/>
      </c>
      <c r="M14" s="92">
        <f>IF(OR(I14="",NOT(ISNUMBER(G14)),NOT(ISNUMBER(H14))),"",IF(COUNTIFS($I$13:$I$50,I14,$G$13:$G$50,"&lt;"&amp;(H14-1/2880),$H$13:$H$50,"&gt;"&amp;(G14+1/2880))-IF(H14-G14&gt;1/1440,1,0)&gt;0,"Overlap","OK"))</f>
        <v/>
      </c>
      <c r="N14" s="99" t="n">
        <v>0.9375</v>
      </c>
      <c r="O14" s="101" t="inlineStr">
        <is>
          <t>Confirmed</t>
        </is>
      </c>
      <c r="P14" s="102" t="inlineStr">
        <is>
          <t>Stage, truss, uplights. Needs 2 x 20A circuits by the stage.</t>
        </is>
      </c>
      <c r="S14">
        <f>IF(C14="","",IF(ISNUMBER(G14),G14,IF(ISNUMBER(H14),H14,1))+ROW()/1000000)</f>
        <v/>
      </c>
      <c r="T14">
        <f>IF(OR(NOT(ISNUMBER(K14)),NOT(ISNUMBER($P$3))),"",ROUND(($P$3-K14)*1440,0))</f>
        <v/>
      </c>
    </row>
    <row r="15" ht="26" customHeight="1">
      <c r="B15" s="84">
        <f>IF(C15="","",COUNTA($C$13:C15))</f>
        <v/>
      </c>
      <c r="C15" s="85" t="inlineStr">
        <is>
          <t>Echo AV Productions</t>
        </is>
      </c>
      <c r="D15" s="86" t="inlineStr">
        <is>
          <t>AV / Sound</t>
        </is>
      </c>
      <c r="E15" s="86" t="inlineStr">
        <is>
          <t>Lena Park</t>
        </is>
      </c>
      <c r="F15" s="87" t="inlineStr">
        <is>
          <t>(555) 010-0193</t>
        </is>
      </c>
      <c r="G15" s="88" t="n">
        <v>0.375</v>
      </c>
      <c r="H15" s="88" t="n">
        <v>0.3958333333333333</v>
      </c>
      <c r="I15" s="86" t="inlineStr">
        <is>
          <t>Loading dock A</t>
        </is>
      </c>
      <c r="J15" s="89" t="n">
        <v>150</v>
      </c>
      <c r="K15" s="90">
        <f>IF(OR(J15="",AND(G15="",H15="")),"",IF(AND(ISNUMBER(J15),OR(G15="",ISNUMBER(G15)),OR(H15="",ISNUMBER(H15))),IF(H15&lt;&gt;"",H15,G15)+J15/1440,"Check times"))</f>
        <v/>
      </c>
      <c r="L15" s="91">
        <f>IF(ISNUMBER(T15),IF(T15&lt;0,"Late ","")&amp;IF(ABS(T15)&gt;=60,INT(ABS(T15)/60)&amp;"h "&amp;TEXT(MOD(ABS(T15),60),"00")&amp;"m",ABS(T15)&amp;"m"),"")</f>
        <v/>
      </c>
      <c r="M15" s="92">
        <f>IF(OR(I15="",NOT(ISNUMBER(G15)),NOT(ISNUMBER(H15))),"",IF(COUNTIFS($I$13:$I$50,I15,$G$13:$G$50,"&lt;"&amp;(H15-1/2880),$H$13:$H$50,"&gt;"&amp;(G15+1/2880))-IF(H15-G15&gt;1/1440,1,0)&gt;0,"Overlap","OK"))</f>
        <v/>
      </c>
      <c r="N15" s="88" t="n">
        <v>0.9375</v>
      </c>
      <c r="O15" s="93" t="inlineStr">
        <is>
          <t>Confirmed</t>
        </is>
      </c>
      <c r="P15" s="94" t="inlineStr">
        <is>
          <t>Sound check 3:00 PM with the band. Projector for slideshow.</t>
        </is>
      </c>
      <c r="S15">
        <f>IF(C15="","",IF(ISNUMBER(G15),G15,IF(ISNUMBER(H15),H15,1))+ROW()/1000000)</f>
        <v/>
      </c>
      <c r="T15">
        <f>IF(OR(NOT(ISNUMBER(K15)),NOT(ISNUMBER($P$3))),"",ROUND(($P$3-K15)*1440,0))</f>
        <v/>
      </c>
    </row>
    <row r="16" ht="26" customHeight="1">
      <c r="B16" s="95">
        <f>IF(C16="","",COUNTA($C$13:C16))</f>
        <v/>
      </c>
      <c r="C16" s="96" t="inlineStr">
        <is>
          <t>Wildflower Studio</t>
        </is>
      </c>
      <c r="D16" s="97" t="inlineStr">
        <is>
          <t>Florist</t>
        </is>
      </c>
      <c r="E16" s="97" t="inlineStr">
        <is>
          <t>Ava Thompson</t>
        </is>
      </c>
      <c r="F16" s="98" t="inlineStr">
        <is>
          <t>(555) 010-0127</t>
        </is>
      </c>
      <c r="G16" s="99" t="n">
        <v>0.4583333333333333</v>
      </c>
      <c r="H16" s="99" t="n">
        <v>0.4791666666666667</v>
      </c>
      <c r="I16" s="97" t="inlineStr">
        <is>
          <t>Courtyard gate</t>
        </is>
      </c>
      <c r="J16" s="100" t="n">
        <v>180</v>
      </c>
      <c r="K16" s="90">
        <f>IF(OR(J16="",AND(G16="",H16="")),"",IF(AND(ISNUMBER(J16),OR(G16="",ISNUMBER(G16)),OR(H16="",ISNUMBER(H16))),IF(H16&lt;&gt;"",H16,G16)+J16/1440,"Check times"))</f>
        <v/>
      </c>
      <c r="L16" s="91">
        <f>IF(ISNUMBER(T16),IF(T16&lt;0,"Late ","")&amp;IF(ABS(T16)&gt;=60,INT(ABS(T16)/60)&amp;"h "&amp;TEXT(MOD(ABS(T16),60),"00")&amp;"m",ABS(T16)&amp;"m"),"")</f>
        <v/>
      </c>
      <c r="M16" s="92">
        <f>IF(OR(I16="",NOT(ISNUMBER(G16)),NOT(ISNUMBER(H16))),"",IF(COUNTIFS($I$13:$I$50,I16,$G$13:$G$50,"&lt;"&amp;(H16-1/2880),$H$13:$H$50,"&gt;"&amp;(G16+1/2880))-IF(H16-G16&gt;1/1440,1,0)&gt;0,"Overlap","OK"))</f>
        <v/>
      </c>
      <c r="N16" s="99" t="n">
        <v>0.9270833333333334</v>
      </c>
      <c r="O16" s="101" t="inlineStr">
        <is>
          <t>Confirmed</t>
        </is>
      </c>
      <c r="P16" s="102" t="inlineStr">
        <is>
          <t>Centerpieces go out after linens are set.</t>
        </is>
      </c>
      <c r="S16">
        <f>IF(C16="","",IF(ISNUMBER(G16),G16,IF(ISNUMBER(H16),H16,1))+ROW()/1000000)</f>
        <v/>
      </c>
      <c r="T16">
        <f>IF(OR(NOT(ISNUMBER(K16)),NOT(ISNUMBER($P$3))),"",ROUND(($P$3-K16)*1440,0))</f>
        <v/>
      </c>
    </row>
    <row r="17" ht="26" customHeight="1">
      <c r="B17" s="84">
        <f>IF(C17="","",COUNTA($C$13:C17))</f>
        <v/>
      </c>
      <c r="C17" s="85" t="inlineStr">
        <is>
          <t>Harvest Table Catering</t>
        </is>
      </c>
      <c r="D17" s="86" t="inlineStr">
        <is>
          <t>Catering</t>
        </is>
      </c>
      <c r="E17" s="86" t="inlineStr">
        <is>
          <t>Chef Omar Haddad</t>
        </is>
      </c>
      <c r="F17" s="87" t="inlineStr">
        <is>
          <t>(555) 010-0165</t>
        </is>
      </c>
      <c r="G17" s="88" t="n">
        <v>0.5416666666666666</v>
      </c>
      <c r="H17" s="88" t="n">
        <v>0.5625</v>
      </c>
      <c r="I17" s="86" t="inlineStr">
        <is>
          <t>Kitchen service door</t>
        </is>
      </c>
      <c r="J17" s="89" t="n">
        <v>210</v>
      </c>
      <c r="K17" s="90">
        <f>IF(OR(J17="",AND(G17="",H17="")),"",IF(AND(ISNUMBER(J17),OR(G17="",ISNUMBER(G17)),OR(H17="",ISNUMBER(H17))),IF(H17&lt;&gt;"",H17,G17)+J17/1440,"Check times"))</f>
        <v/>
      </c>
      <c r="L17" s="91">
        <f>IF(ISNUMBER(T17),IF(T17&lt;0,"Late ","")&amp;IF(ABS(T17)&gt;=60,INT(ABS(T17)/60)&amp;"h "&amp;TEXT(MOD(ABS(T17),60),"00")&amp;"m",ABS(T17)&amp;"m"),"")</f>
        <v/>
      </c>
      <c r="M17" s="92">
        <f>IF(OR(I17="",NOT(ISNUMBER(G17)),NOT(ISNUMBER(H17))),"",IF(COUNTIFS($I$13:$I$50,I17,$G$13:$G$50,"&lt;"&amp;(H17-1/2880),$H$13:$H$50,"&gt;"&amp;(G17+1/2880))-IF(H17-G17&gt;1/1440,1,0)&gt;0,"Overlap","OK"))</f>
        <v/>
      </c>
      <c r="N17" s="88" t="n">
        <v>0.9375</v>
      </c>
      <c r="O17" s="93" t="inlineStr">
        <is>
          <t>Confirmed</t>
        </is>
      </c>
      <c r="P17" s="94" t="inlineStr">
        <is>
          <t>Hot boxes plus freight elevator. 180 guests, 3 dietary lists.</t>
        </is>
      </c>
      <c r="S17">
        <f>IF(C17="","",IF(ISNUMBER(G17),G17,IF(ISNUMBER(H17),H17,1))+ROW()/1000000)</f>
        <v/>
      </c>
      <c r="T17">
        <f>IF(OR(NOT(ISNUMBER(K17)),NOT(ISNUMBER($P$3))),"",ROUND(($P$3-K17)*1440,0))</f>
        <v/>
      </c>
    </row>
    <row r="18" ht="26" customHeight="1">
      <c r="B18" s="95">
        <f>IF(C18="","",COUNTA($C$13:C18))</f>
        <v/>
      </c>
      <c r="C18" s="96" t="inlineStr">
        <is>
          <t>Night Owl DJ &amp; Sound</t>
        </is>
      </c>
      <c r="D18" s="97" t="inlineStr">
        <is>
          <t>Entertainment / DJ / Band</t>
        </is>
      </c>
      <c r="E18" s="97" t="inlineStr">
        <is>
          <t>Chris Nolan</t>
        </is>
      </c>
      <c r="F18" s="98" t="inlineStr">
        <is>
          <t>(555) 010-0110</t>
        </is>
      </c>
      <c r="G18" s="99" t="n">
        <v>0.625</v>
      </c>
      <c r="H18" s="99" t="n">
        <v>0.65625</v>
      </c>
      <c r="I18" s="97" t="inlineStr">
        <is>
          <t>Loading dock A</t>
        </is>
      </c>
      <c r="J18" s="100" t="n">
        <v>120</v>
      </c>
      <c r="K18" s="90">
        <f>IF(OR(J18="",AND(G18="",H18="")),"",IF(AND(ISNUMBER(J18),OR(G18="",ISNUMBER(G18)),OR(H18="",ISNUMBER(H18))),IF(H18&lt;&gt;"",H18,G18)+J18/1440,"Check times"))</f>
        <v/>
      </c>
      <c r="L18" s="91">
        <f>IF(ISNUMBER(T18),IF(T18&lt;0,"Late ","")&amp;IF(ABS(T18)&gt;=60,INT(ABS(T18)/60)&amp;"h "&amp;TEXT(MOD(ABS(T18),60),"00")&amp;"m",ABS(T18)&amp;"m"),"")</f>
        <v/>
      </c>
      <c r="M18" s="92">
        <f>IF(OR(I18="",NOT(ISNUMBER(G18)),NOT(ISNUMBER(H18))),"",IF(COUNTIFS($I$13:$I$50,I18,$G$13:$G$50,"&lt;"&amp;(H18-1/2880),$H$13:$H$50,"&gt;"&amp;(G18+1/2880))-IF(H18-G18&gt;1/1440,1,0)&gt;0,"Overlap","OK"))</f>
        <v/>
      </c>
      <c r="N18" s="99" t="n">
        <v>0.9270833333333334</v>
      </c>
      <c r="O18" s="101" t="inlineStr">
        <is>
          <t>Not confirmed</t>
        </is>
      </c>
      <c r="P18" s="102" t="inlineStr">
        <is>
          <t>Confirm arrival window. Setup needs the stage clear.</t>
        </is>
      </c>
      <c r="S18">
        <f>IF(C18="","",IF(ISNUMBER(G18),G18,IF(ISNUMBER(H18),H18,1))+ROW()/1000000)</f>
        <v/>
      </c>
      <c r="T18">
        <f>IF(OR(NOT(ISNUMBER(K18)),NOT(ISNUMBER($P$3))),"",ROUND(($P$3-K18)*1440,0))</f>
        <v/>
      </c>
    </row>
    <row r="19" ht="26" customHeight="1">
      <c r="B19" s="84">
        <f>IF(C19="","",COUNTA($C$13:C19))</f>
        <v/>
      </c>
      <c r="C19" s="85" t="inlineStr">
        <is>
          <t>Sweet Layers Bakery</t>
        </is>
      </c>
      <c r="D19" s="86" t="inlineStr">
        <is>
          <t>Cake / Desserts</t>
        </is>
      </c>
      <c r="E19" s="86" t="inlineStr">
        <is>
          <t>Mia Chen</t>
        </is>
      </c>
      <c r="F19" s="87" t="inlineStr">
        <is>
          <t>(555) 010-0136</t>
        </is>
      </c>
      <c r="G19" s="88" t="n">
        <v>0.6458333333333334</v>
      </c>
      <c r="H19" s="88" t="n">
        <v>0.6666666666666666</v>
      </c>
      <c r="I19" s="86" t="inlineStr">
        <is>
          <t>Loading dock A</t>
        </is>
      </c>
      <c r="J19" s="89" t="n">
        <v>45</v>
      </c>
      <c r="K19" s="90">
        <f>IF(OR(J19="",AND(G19="",H19="")),"",IF(AND(ISNUMBER(J19),OR(G19="",ISNUMBER(G19)),OR(H19="",ISNUMBER(H19))),IF(H19&lt;&gt;"",H19,G19)+J19/1440,"Check times"))</f>
        <v/>
      </c>
      <c r="L19" s="91">
        <f>IF(ISNUMBER(T19),IF(T19&lt;0,"Late ","")&amp;IF(ABS(T19)&gt;=60,INT(ABS(T19)/60)&amp;"h "&amp;TEXT(MOD(ABS(T19),60),"00")&amp;"m",ABS(T19)&amp;"m"),"")</f>
        <v/>
      </c>
      <c r="M19" s="92">
        <f>IF(OR(I19="",NOT(ISNUMBER(G19)),NOT(ISNUMBER(H19))),"",IF(COUNTIFS($I$13:$I$50,I19,$G$13:$G$50,"&lt;"&amp;(H19-1/2880),$H$13:$H$50,"&gt;"&amp;(G19+1/2880))-IF(H19-G19&gt;1/1440,1,0)&gt;0,"Overlap","OK"))</f>
        <v/>
      </c>
      <c r="N19" s="88" t="n">
        <v>0.8541666666666666</v>
      </c>
      <c r="O19" s="93" t="inlineStr">
        <is>
          <t>Confirmed</t>
        </is>
      </c>
      <c r="P19" s="94" t="inlineStr">
        <is>
          <t>Cake table by the dance floor. Needs a cart.</t>
        </is>
      </c>
      <c r="S19">
        <f>IF(C19="","",IF(ISNUMBER(G19),G19,IF(ISNUMBER(H19),H19,1))+ROW()/1000000)</f>
        <v/>
      </c>
      <c r="T19">
        <f>IF(OR(NOT(ISNUMBER(K19)),NOT(ISNUMBER($P$3))),"",ROUND(($P$3-K19)*1440,0))</f>
        <v/>
      </c>
    </row>
    <row r="20" ht="26" customHeight="1">
      <c r="B20" s="95">
        <f>IF(C20="","",COUNTA($C$13:C20))</f>
        <v/>
      </c>
      <c r="C20" s="96" t="inlineStr">
        <is>
          <t>Golden Hour Photo</t>
        </is>
      </c>
      <c r="D20" s="97" t="inlineStr">
        <is>
          <t>Photo / Video</t>
        </is>
      </c>
      <c r="E20" s="97" t="inlineStr">
        <is>
          <t>Sam Rivera</t>
        </is>
      </c>
      <c r="F20" s="98" t="inlineStr">
        <is>
          <t>(555) 010-0151</t>
        </is>
      </c>
      <c r="G20" s="99" t="n">
        <v>0.6875</v>
      </c>
      <c r="H20" s="99" t="n">
        <v>0.6979166666666666</v>
      </c>
      <c r="I20" s="97" t="inlineStr">
        <is>
          <t>Main lobby</t>
        </is>
      </c>
      <c r="J20" s="100" t="n">
        <v>30</v>
      </c>
      <c r="K20" s="90">
        <f>IF(OR(J20="",AND(G20="",H20="")),"",IF(AND(ISNUMBER(J20),OR(G20="",ISNUMBER(G20)),OR(H20="",ISNUMBER(H20))),IF(H20&lt;&gt;"",H20,G20)+J20/1440,"Check times"))</f>
        <v/>
      </c>
      <c r="L20" s="91">
        <f>IF(ISNUMBER(T20),IF(T20&lt;0,"Late ","")&amp;IF(ABS(T20)&gt;=60,INT(ABS(T20)/60)&amp;"h "&amp;TEXT(MOD(ABS(T20),60),"00")&amp;"m",ABS(T20)&amp;"m"),"")</f>
        <v/>
      </c>
      <c r="M20" s="92">
        <f>IF(OR(I20="",NOT(ISNUMBER(G20)),NOT(ISNUMBER(H20))),"",IF(COUNTIFS($I$13:$I$50,I20,$G$13:$G$50,"&lt;"&amp;(H20-1/2880),$H$13:$H$50,"&gt;"&amp;(G20+1/2880))-IF(H20-G20&gt;1/1440,1,0)&gt;0,"Overlap","OK"))</f>
        <v/>
      </c>
      <c r="N20" s="99" t="n">
        <v>0.9166666666666666</v>
      </c>
      <c r="O20" s="101" t="inlineStr">
        <is>
          <t>Not confirmed</t>
        </is>
      </c>
      <c r="P20" s="102" t="inlineStr">
        <is>
          <t>Detail shots of the room before doors open.</t>
        </is>
      </c>
      <c r="S20">
        <f>IF(C20="","",IF(ISNUMBER(G20),G20,IF(ISNUMBER(H20),H20,1))+ROW()/1000000)</f>
        <v/>
      </c>
      <c r="T20">
        <f>IF(OR(NOT(ISNUMBER(K20)),NOT(ISNUMBER($P$3))),"",ROUND(($P$3-K20)*1440,0))</f>
        <v/>
      </c>
    </row>
    <row r="21" ht="26" customHeight="1">
      <c r="B21" s="84">
        <f>IF(C21="","",COUNTA($C$13:C21))</f>
        <v/>
      </c>
      <c r="C21" s="85" t="n"/>
      <c r="D21" s="86" t="n"/>
      <c r="E21" s="86" t="n"/>
      <c r="F21" s="87" t="n"/>
      <c r="G21" s="88" t="n"/>
      <c r="H21" s="88" t="n"/>
      <c r="I21" s="86" t="n"/>
      <c r="J21" s="89" t="n"/>
      <c r="K21" s="90">
        <f>IF(OR(J21="",AND(G21="",H21="")),"",IF(AND(ISNUMBER(J21),OR(G21="",ISNUMBER(G21)),OR(H21="",ISNUMBER(H21))),IF(H21&lt;&gt;"",H21,G21)+J21/1440,"Check times"))</f>
        <v/>
      </c>
      <c r="L21" s="91">
        <f>IF(ISNUMBER(T21),IF(T21&lt;0,"Late ","")&amp;IF(ABS(T21)&gt;=60,INT(ABS(T21)/60)&amp;"h "&amp;TEXT(MOD(ABS(T21),60),"00")&amp;"m",ABS(T21)&amp;"m"),"")</f>
        <v/>
      </c>
      <c r="M21" s="92">
        <f>IF(OR(I21="",NOT(ISNUMBER(G21)),NOT(ISNUMBER(H21))),"",IF(COUNTIFS($I$13:$I$50,I21,$G$13:$G$50,"&lt;"&amp;(H21-1/2880),$H$13:$H$50,"&gt;"&amp;(G21+1/2880))-IF(H21-G21&gt;1/1440,1,0)&gt;0,"Overlap","OK"))</f>
        <v/>
      </c>
      <c r="N21" s="88" t="n"/>
      <c r="O21" s="93" t="n"/>
      <c r="P21" s="94" t="n"/>
      <c r="S21">
        <f>IF(C21="","",IF(ISNUMBER(G21),G21,IF(ISNUMBER(H21),H21,1))+ROW()/1000000)</f>
        <v/>
      </c>
      <c r="T21">
        <f>IF(OR(NOT(ISNUMBER(K21)),NOT(ISNUMBER($P$3))),"",ROUND(($P$3-K21)*1440,0))</f>
        <v/>
      </c>
    </row>
    <row r="22" ht="26" customHeight="1">
      <c r="B22" s="95">
        <f>IF(C22="","",COUNTA($C$13:C22))</f>
        <v/>
      </c>
      <c r="C22" s="96" t="n"/>
      <c r="D22" s="97" t="n"/>
      <c r="E22" s="97" t="n"/>
      <c r="F22" s="98" t="n"/>
      <c r="G22" s="99" t="n"/>
      <c r="H22" s="99" t="n"/>
      <c r="I22" s="97" t="n"/>
      <c r="J22" s="100" t="n"/>
      <c r="K22" s="90">
        <f>IF(OR(J22="",AND(G22="",H22="")),"",IF(AND(ISNUMBER(J22),OR(G22="",ISNUMBER(G22)),OR(H22="",ISNUMBER(H22))),IF(H22&lt;&gt;"",H22,G22)+J22/1440,"Check times"))</f>
        <v/>
      </c>
      <c r="L22" s="91">
        <f>IF(ISNUMBER(T22),IF(T22&lt;0,"Late ","")&amp;IF(ABS(T22)&gt;=60,INT(ABS(T22)/60)&amp;"h "&amp;TEXT(MOD(ABS(T22),60),"00")&amp;"m",ABS(T22)&amp;"m"),"")</f>
        <v/>
      </c>
      <c r="M22" s="92">
        <f>IF(OR(I22="",NOT(ISNUMBER(G22)),NOT(ISNUMBER(H22))),"",IF(COUNTIFS($I$13:$I$50,I22,$G$13:$G$50,"&lt;"&amp;(H22-1/2880),$H$13:$H$50,"&gt;"&amp;(G22+1/2880))-IF(H22-G22&gt;1/1440,1,0)&gt;0,"Overlap","OK"))</f>
        <v/>
      </c>
      <c r="N22" s="99" t="n"/>
      <c r="O22" s="101" t="n"/>
      <c r="P22" s="102" t="n"/>
      <c r="S22">
        <f>IF(C22="","",IF(ISNUMBER(G22),G22,IF(ISNUMBER(H22),H22,1))+ROW()/1000000)</f>
        <v/>
      </c>
      <c r="T22">
        <f>IF(OR(NOT(ISNUMBER(K22)),NOT(ISNUMBER($P$3))),"",ROUND(($P$3-K22)*1440,0))</f>
        <v/>
      </c>
    </row>
    <row r="23" ht="26" customHeight="1">
      <c r="B23" s="84">
        <f>IF(C23="","",COUNTA($C$13:C23))</f>
        <v/>
      </c>
      <c r="C23" s="85" t="n"/>
      <c r="D23" s="86" t="n"/>
      <c r="E23" s="86" t="n"/>
      <c r="F23" s="87" t="n"/>
      <c r="G23" s="88" t="n"/>
      <c r="H23" s="88" t="n"/>
      <c r="I23" s="86" t="n"/>
      <c r="J23" s="89" t="n"/>
      <c r="K23" s="90">
        <f>IF(OR(J23="",AND(G23="",H23="")),"",IF(AND(ISNUMBER(J23),OR(G23="",ISNUMBER(G23)),OR(H23="",ISNUMBER(H23))),IF(H23&lt;&gt;"",H23,G23)+J23/1440,"Check times"))</f>
        <v/>
      </c>
      <c r="L23" s="91">
        <f>IF(ISNUMBER(T23),IF(T23&lt;0,"Late ","")&amp;IF(ABS(T23)&gt;=60,INT(ABS(T23)/60)&amp;"h "&amp;TEXT(MOD(ABS(T23),60),"00")&amp;"m",ABS(T23)&amp;"m"),"")</f>
        <v/>
      </c>
      <c r="M23" s="92">
        <f>IF(OR(I23="",NOT(ISNUMBER(G23)),NOT(ISNUMBER(H23))),"",IF(COUNTIFS($I$13:$I$50,I23,$G$13:$G$50,"&lt;"&amp;(H23-1/2880),$H$13:$H$50,"&gt;"&amp;(G23+1/2880))-IF(H23-G23&gt;1/1440,1,0)&gt;0,"Overlap","OK"))</f>
        <v/>
      </c>
      <c r="N23" s="88" t="n"/>
      <c r="O23" s="93" t="n"/>
      <c r="P23" s="94" t="n"/>
      <c r="S23">
        <f>IF(C23="","",IF(ISNUMBER(G23),G23,IF(ISNUMBER(H23),H23,1))+ROW()/1000000)</f>
        <v/>
      </c>
      <c r="T23">
        <f>IF(OR(NOT(ISNUMBER(K23)),NOT(ISNUMBER($P$3))),"",ROUND(($P$3-K23)*1440,0))</f>
        <v/>
      </c>
    </row>
    <row r="24" ht="26" customHeight="1">
      <c r="B24" s="95">
        <f>IF(C24="","",COUNTA($C$13:C24))</f>
        <v/>
      </c>
      <c r="C24" s="96" t="n"/>
      <c r="D24" s="97" t="n"/>
      <c r="E24" s="97" t="n"/>
      <c r="F24" s="98" t="n"/>
      <c r="G24" s="99" t="n"/>
      <c r="H24" s="99" t="n"/>
      <c r="I24" s="97" t="n"/>
      <c r="J24" s="100" t="n"/>
      <c r="K24" s="90">
        <f>IF(OR(J24="",AND(G24="",H24="")),"",IF(AND(ISNUMBER(J24),OR(G24="",ISNUMBER(G24)),OR(H24="",ISNUMBER(H24))),IF(H24&lt;&gt;"",H24,G24)+J24/1440,"Check times"))</f>
        <v/>
      </c>
      <c r="L24" s="91">
        <f>IF(ISNUMBER(T24),IF(T24&lt;0,"Late ","")&amp;IF(ABS(T24)&gt;=60,INT(ABS(T24)/60)&amp;"h "&amp;TEXT(MOD(ABS(T24),60),"00")&amp;"m",ABS(T24)&amp;"m"),"")</f>
        <v/>
      </c>
      <c r="M24" s="92">
        <f>IF(OR(I24="",NOT(ISNUMBER(G24)),NOT(ISNUMBER(H24))),"",IF(COUNTIFS($I$13:$I$50,I24,$G$13:$G$50,"&lt;"&amp;(H24-1/2880),$H$13:$H$50,"&gt;"&amp;(G24+1/2880))-IF(H24-G24&gt;1/1440,1,0)&gt;0,"Overlap","OK"))</f>
        <v/>
      </c>
      <c r="N24" s="99" t="n"/>
      <c r="O24" s="101" t="n"/>
      <c r="P24" s="102" t="n"/>
      <c r="S24">
        <f>IF(C24="","",IF(ISNUMBER(G24),G24,IF(ISNUMBER(H24),H24,1))+ROW()/1000000)</f>
        <v/>
      </c>
      <c r="T24">
        <f>IF(OR(NOT(ISNUMBER(K24)),NOT(ISNUMBER($P$3))),"",ROUND(($P$3-K24)*1440,0))</f>
        <v/>
      </c>
    </row>
    <row r="25" ht="26" customHeight="1">
      <c r="B25" s="84">
        <f>IF(C25="","",COUNTA($C$13:C25))</f>
        <v/>
      </c>
      <c r="C25" s="85" t="n"/>
      <c r="D25" s="86" t="n"/>
      <c r="E25" s="86" t="n"/>
      <c r="F25" s="87" t="n"/>
      <c r="G25" s="88" t="n"/>
      <c r="H25" s="88" t="n"/>
      <c r="I25" s="86" t="n"/>
      <c r="J25" s="89" t="n"/>
      <c r="K25" s="90">
        <f>IF(OR(J25="",AND(G25="",H25="")),"",IF(AND(ISNUMBER(J25),OR(G25="",ISNUMBER(G25)),OR(H25="",ISNUMBER(H25))),IF(H25&lt;&gt;"",H25,G25)+J25/1440,"Check times"))</f>
        <v/>
      </c>
      <c r="L25" s="91">
        <f>IF(ISNUMBER(T25),IF(T25&lt;0,"Late ","")&amp;IF(ABS(T25)&gt;=60,INT(ABS(T25)/60)&amp;"h "&amp;TEXT(MOD(ABS(T25),60),"00")&amp;"m",ABS(T25)&amp;"m"),"")</f>
        <v/>
      </c>
      <c r="M25" s="92">
        <f>IF(OR(I25="",NOT(ISNUMBER(G25)),NOT(ISNUMBER(H25))),"",IF(COUNTIFS($I$13:$I$50,I25,$G$13:$G$50,"&lt;"&amp;(H25-1/2880),$H$13:$H$50,"&gt;"&amp;(G25+1/2880))-IF(H25-G25&gt;1/1440,1,0)&gt;0,"Overlap","OK"))</f>
        <v/>
      </c>
      <c r="N25" s="88" t="n"/>
      <c r="O25" s="93" t="n"/>
      <c r="P25" s="94" t="n"/>
      <c r="S25">
        <f>IF(C25="","",IF(ISNUMBER(G25),G25,IF(ISNUMBER(H25),H25,1))+ROW()/1000000)</f>
        <v/>
      </c>
      <c r="T25">
        <f>IF(OR(NOT(ISNUMBER(K25)),NOT(ISNUMBER($P$3))),"",ROUND(($P$3-K25)*1440,0))</f>
        <v/>
      </c>
    </row>
    <row r="26" ht="26" customHeight="1">
      <c r="B26" s="95">
        <f>IF(C26="","",COUNTA($C$13:C26))</f>
        <v/>
      </c>
      <c r="C26" s="96" t="n"/>
      <c r="D26" s="97" t="n"/>
      <c r="E26" s="97" t="n"/>
      <c r="F26" s="98" t="n"/>
      <c r="G26" s="99" t="n"/>
      <c r="H26" s="99" t="n"/>
      <c r="I26" s="97" t="n"/>
      <c r="J26" s="100" t="n"/>
      <c r="K26" s="90">
        <f>IF(OR(J26="",AND(G26="",H26="")),"",IF(AND(ISNUMBER(J26),OR(G26="",ISNUMBER(G26)),OR(H26="",ISNUMBER(H26))),IF(H26&lt;&gt;"",H26,G26)+J26/1440,"Check times"))</f>
        <v/>
      </c>
      <c r="L26" s="91">
        <f>IF(ISNUMBER(T26),IF(T26&lt;0,"Late ","")&amp;IF(ABS(T26)&gt;=60,INT(ABS(T26)/60)&amp;"h "&amp;TEXT(MOD(ABS(T26),60),"00")&amp;"m",ABS(T26)&amp;"m"),"")</f>
        <v/>
      </c>
      <c r="M26" s="92">
        <f>IF(OR(I26="",NOT(ISNUMBER(G26)),NOT(ISNUMBER(H26))),"",IF(COUNTIFS($I$13:$I$50,I26,$G$13:$G$50,"&lt;"&amp;(H26-1/2880),$H$13:$H$50,"&gt;"&amp;(G26+1/2880))-IF(H26-G26&gt;1/1440,1,0)&gt;0,"Overlap","OK"))</f>
        <v/>
      </c>
      <c r="N26" s="99" t="n"/>
      <c r="O26" s="101" t="n"/>
      <c r="P26" s="102" t="n"/>
      <c r="S26">
        <f>IF(C26="","",IF(ISNUMBER(G26),G26,IF(ISNUMBER(H26),H26,1))+ROW()/1000000)</f>
        <v/>
      </c>
      <c r="T26">
        <f>IF(OR(NOT(ISNUMBER(K26)),NOT(ISNUMBER($P$3))),"",ROUND(($P$3-K26)*1440,0))</f>
        <v/>
      </c>
    </row>
    <row r="27" ht="26" customHeight="1">
      <c r="B27" s="84">
        <f>IF(C27="","",COUNTA($C$13:C27))</f>
        <v/>
      </c>
      <c r="C27" s="85" t="n"/>
      <c r="D27" s="86" t="n"/>
      <c r="E27" s="86" t="n"/>
      <c r="F27" s="87" t="n"/>
      <c r="G27" s="88" t="n"/>
      <c r="H27" s="88" t="n"/>
      <c r="I27" s="86" t="n"/>
      <c r="J27" s="89" t="n"/>
      <c r="K27" s="90">
        <f>IF(OR(J27="",AND(G27="",H27="")),"",IF(AND(ISNUMBER(J27),OR(G27="",ISNUMBER(G27)),OR(H27="",ISNUMBER(H27))),IF(H27&lt;&gt;"",H27,G27)+J27/1440,"Check times"))</f>
        <v/>
      </c>
      <c r="L27" s="91">
        <f>IF(ISNUMBER(T27),IF(T27&lt;0,"Late ","")&amp;IF(ABS(T27)&gt;=60,INT(ABS(T27)/60)&amp;"h "&amp;TEXT(MOD(ABS(T27),60),"00")&amp;"m",ABS(T27)&amp;"m"),"")</f>
        <v/>
      </c>
      <c r="M27" s="92">
        <f>IF(OR(I27="",NOT(ISNUMBER(G27)),NOT(ISNUMBER(H27))),"",IF(COUNTIFS($I$13:$I$50,I27,$G$13:$G$50,"&lt;"&amp;(H27-1/2880),$H$13:$H$50,"&gt;"&amp;(G27+1/2880))-IF(H27-G27&gt;1/1440,1,0)&gt;0,"Overlap","OK"))</f>
        <v/>
      </c>
      <c r="N27" s="88" t="n"/>
      <c r="O27" s="93" t="n"/>
      <c r="P27" s="94" t="n"/>
      <c r="S27">
        <f>IF(C27="","",IF(ISNUMBER(G27),G27,IF(ISNUMBER(H27),H27,1))+ROW()/1000000)</f>
        <v/>
      </c>
      <c r="T27">
        <f>IF(OR(NOT(ISNUMBER(K27)),NOT(ISNUMBER($P$3))),"",ROUND(($P$3-K27)*1440,0))</f>
        <v/>
      </c>
    </row>
    <row r="28" ht="26" customHeight="1">
      <c r="B28" s="95">
        <f>IF(C28="","",COUNTA($C$13:C28))</f>
        <v/>
      </c>
      <c r="C28" s="96" t="n"/>
      <c r="D28" s="97" t="n"/>
      <c r="E28" s="97" t="n"/>
      <c r="F28" s="98" t="n"/>
      <c r="G28" s="99" t="n"/>
      <c r="H28" s="99" t="n"/>
      <c r="I28" s="97" t="n"/>
      <c r="J28" s="100" t="n"/>
      <c r="K28" s="90">
        <f>IF(OR(J28="",AND(G28="",H28="")),"",IF(AND(ISNUMBER(J28),OR(G28="",ISNUMBER(G28)),OR(H28="",ISNUMBER(H28))),IF(H28&lt;&gt;"",H28,G28)+J28/1440,"Check times"))</f>
        <v/>
      </c>
      <c r="L28" s="91">
        <f>IF(ISNUMBER(T28),IF(T28&lt;0,"Late ","")&amp;IF(ABS(T28)&gt;=60,INT(ABS(T28)/60)&amp;"h "&amp;TEXT(MOD(ABS(T28),60),"00")&amp;"m",ABS(T28)&amp;"m"),"")</f>
        <v/>
      </c>
      <c r="M28" s="92">
        <f>IF(OR(I28="",NOT(ISNUMBER(G28)),NOT(ISNUMBER(H28))),"",IF(COUNTIFS($I$13:$I$50,I28,$G$13:$G$50,"&lt;"&amp;(H28-1/2880),$H$13:$H$50,"&gt;"&amp;(G28+1/2880))-IF(H28-G28&gt;1/1440,1,0)&gt;0,"Overlap","OK"))</f>
        <v/>
      </c>
      <c r="N28" s="99" t="n"/>
      <c r="O28" s="101" t="n"/>
      <c r="P28" s="102" t="n"/>
      <c r="S28">
        <f>IF(C28="","",IF(ISNUMBER(G28),G28,IF(ISNUMBER(H28),H28,1))+ROW()/1000000)</f>
        <v/>
      </c>
      <c r="T28">
        <f>IF(OR(NOT(ISNUMBER(K28)),NOT(ISNUMBER($P$3))),"",ROUND(($P$3-K28)*1440,0))</f>
        <v/>
      </c>
    </row>
    <row r="29" ht="26" customHeight="1">
      <c r="B29" s="84">
        <f>IF(C29="","",COUNTA($C$13:C29))</f>
        <v/>
      </c>
      <c r="C29" s="85" t="n"/>
      <c r="D29" s="86" t="n"/>
      <c r="E29" s="86" t="n"/>
      <c r="F29" s="87" t="n"/>
      <c r="G29" s="88" t="n"/>
      <c r="H29" s="88" t="n"/>
      <c r="I29" s="86" t="n"/>
      <c r="J29" s="89" t="n"/>
      <c r="K29" s="90">
        <f>IF(OR(J29="",AND(G29="",H29="")),"",IF(AND(ISNUMBER(J29),OR(G29="",ISNUMBER(G29)),OR(H29="",ISNUMBER(H29))),IF(H29&lt;&gt;"",H29,G29)+J29/1440,"Check times"))</f>
        <v/>
      </c>
      <c r="L29" s="91">
        <f>IF(ISNUMBER(T29),IF(T29&lt;0,"Late ","")&amp;IF(ABS(T29)&gt;=60,INT(ABS(T29)/60)&amp;"h "&amp;TEXT(MOD(ABS(T29),60),"00")&amp;"m",ABS(T29)&amp;"m"),"")</f>
        <v/>
      </c>
      <c r="M29" s="92">
        <f>IF(OR(I29="",NOT(ISNUMBER(G29)),NOT(ISNUMBER(H29))),"",IF(COUNTIFS($I$13:$I$50,I29,$G$13:$G$50,"&lt;"&amp;(H29-1/2880),$H$13:$H$50,"&gt;"&amp;(G29+1/2880))-IF(H29-G29&gt;1/1440,1,0)&gt;0,"Overlap","OK"))</f>
        <v/>
      </c>
      <c r="N29" s="88" t="n"/>
      <c r="O29" s="93" t="n"/>
      <c r="P29" s="94" t="n"/>
      <c r="S29">
        <f>IF(C29="","",IF(ISNUMBER(G29),G29,IF(ISNUMBER(H29),H29,1))+ROW()/1000000)</f>
        <v/>
      </c>
      <c r="T29">
        <f>IF(OR(NOT(ISNUMBER(K29)),NOT(ISNUMBER($P$3))),"",ROUND(($P$3-K29)*1440,0))</f>
        <v/>
      </c>
    </row>
    <row r="30" ht="26" customHeight="1">
      <c r="B30" s="95">
        <f>IF(C30="","",COUNTA($C$13:C30))</f>
        <v/>
      </c>
      <c r="C30" s="96" t="n"/>
      <c r="D30" s="97" t="n"/>
      <c r="E30" s="97" t="n"/>
      <c r="F30" s="98" t="n"/>
      <c r="G30" s="99" t="n"/>
      <c r="H30" s="99" t="n"/>
      <c r="I30" s="97" t="n"/>
      <c r="J30" s="100" t="n"/>
      <c r="K30" s="90">
        <f>IF(OR(J30="",AND(G30="",H30="")),"",IF(AND(ISNUMBER(J30),OR(G30="",ISNUMBER(G30)),OR(H30="",ISNUMBER(H30))),IF(H30&lt;&gt;"",H30,G30)+J30/1440,"Check times"))</f>
        <v/>
      </c>
      <c r="L30" s="91">
        <f>IF(ISNUMBER(T30),IF(T30&lt;0,"Late ","")&amp;IF(ABS(T30)&gt;=60,INT(ABS(T30)/60)&amp;"h "&amp;TEXT(MOD(ABS(T30),60),"00")&amp;"m",ABS(T30)&amp;"m"),"")</f>
        <v/>
      </c>
      <c r="M30" s="92">
        <f>IF(OR(I30="",NOT(ISNUMBER(G30)),NOT(ISNUMBER(H30))),"",IF(COUNTIFS($I$13:$I$50,I30,$G$13:$G$50,"&lt;"&amp;(H30-1/2880),$H$13:$H$50,"&gt;"&amp;(G30+1/2880))-IF(H30-G30&gt;1/1440,1,0)&gt;0,"Overlap","OK"))</f>
        <v/>
      </c>
      <c r="N30" s="99" t="n"/>
      <c r="O30" s="101" t="n"/>
      <c r="P30" s="102" t="n"/>
      <c r="S30">
        <f>IF(C30="","",IF(ISNUMBER(G30),G30,IF(ISNUMBER(H30),H30,1))+ROW()/1000000)</f>
        <v/>
      </c>
      <c r="T30">
        <f>IF(OR(NOT(ISNUMBER(K30)),NOT(ISNUMBER($P$3))),"",ROUND(($P$3-K30)*1440,0))</f>
        <v/>
      </c>
    </row>
    <row r="31" ht="26" customHeight="1">
      <c r="B31" s="84">
        <f>IF(C31="","",COUNTA($C$13:C31))</f>
        <v/>
      </c>
      <c r="C31" s="85" t="n"/>
      <c r="D31" s="86" t="n"/>
      <c r="E31" s="86" t="n"/>
      <c r="F31" s="87" t="n"/>
      <c r="G31" s="88" t="n"/>
      <c r="H31" s="88" t="n"/>
      <c r="I31" s="86" t="n"/>
      <c r="J31" s="89" t="n"/>
      <c r="K31" s="90">
        <f>IF(OR(J31="",AND(G31="",H31="")),"",IF(AND(ISNUMBER(J31),OR(G31="",ISNUMBER(G31)),OR(H31="",ISNUMBER(H31))),IF(H31&lt;&gt;"",H31,G31)+J31/1440,"Check times"))</f>
        <v/>
      </c>
      <c r="L31" s="91">
        <f>IF(ISNUMBER(T31),IF(T31&lt;0,"Late ","")&amp;IF(ABS(T31)&gt;=60,INT(ABS(T31)/60)&amp;"h "&amp;TEXT(MOD(ABS(T31),60),"00")&amp;"m",ABS(T31)&amp;"m"),"")</f>
        <v/>
      </c>
      <c r="M31" s="92">
        <f>IF(OR(I31="",NOT(ISNUMBER(G31)),NOT(ISNUMBER(H31))),"",IF(COUNTIFS($I$13:$I$50,I31,$G$13:$G$50,"&lt;"&amp;(H31-1/2880),$H$13:$H$50,"&gt;"&amp;(G31+1/2880))-IF(H31-G31&gt;1/1440,1,0)&gt;0,"Overlap","OK"))</f>
        <v/>
      </c>
      <c r="N31" s="88" t="n"/>
      <c r="O31" s="93" t="n"/>
      <c r="P31" s="94" t="n"/>
      <c r="S31">
        <f>IF(C31="","",IF(ISNUMBER(G31),G31,IF(ISNUMBER(H31),H31,1))+ROW()/1000000)</f>
        <v/>
      </c>
      <c r="T31">
        <f>IF(OR(NOT(ISNUMBER(K31)),NOT(ISNUMBER($P$3))),"",ROUND(($P$3-K31)*1440,0))</f>
        <v/>
      </c>
    </row>
    <row r="32" ht="26" customHeight="1">
      <c r="B32" s="95">
        <f>IF(C32="","",COUNTA($C$13:C32))</f>
        <v/>
      </c>
      <c r="C32" s="96" t="n"/>
      <c r="D32" s="97" t="n"/>
      <c r="E32" s="97" t="n"/>
      <c r="F32" s="98" t="n"/>
      <c r="G32" s="99" t="n"/>
      <c r="H32" s="99" t="n"/>
      <c r="I32" s="97" t="n"/>
      <c r="J32" s="100" t="n"/>
      <c r="K32" s="90">
        <f>IF(OR(J32="",AND(G32="",H32="")),"",IF(AND(ISNUMBER(J32),OR(G32="",ISNUMBER(G32)),OR(H32="",ISNUMBER(H32))),IF(H32&lt;&gt;"",H32,G32)+J32/1440,"Check times"))</f>
        <v/>
      </c>
      <c r="L32" s="91">
        <f>IF(ISNUMBER(T32),IF(T32&lt;0,"Late ","")&amp;IF(ABS(T32)&gt;=60,INT(ABS(T32)/60)&amp;"h "&amp;TEXT(MOD(ABS(T32),60),"00")&amp;"m",ABS(T32)&amp;"m"),"")</f>
        <v/>
      </c>
      <c r="M32" s="92">
        <f>IF(OR(I32="",NOT(ISNUMBER(G32)),NOT(ISNUMBER(H32))),"",IF(COUNTIFS($I$13:$I$50,I32,$G$13:$G$50,"&lt;"&amp;(H32-1/2880),$H$13:$H$50,"&gt;"&amp;(G32+1/2880))-IF(H32-G32&gt;1/1440,1,0)&gt;0,"Overlap","OK"))</f>
        <v/>
      </c>
      <c r="N32" s="99" t="n"/>
      <c r="O32" s="101" t="n"/>
      <c r="P32" s="102" t="n"/>
      <c r="S32">
        <f>IF(C32="","",IF(ISNUMBER(G32),G32,IF(ISNUMBER(H32),H32,1))+ROW()/1000000)</f>
        <v/>
      </c>
      <c r="T32">
        <f>IF(OR(NOT(ISNUMBER(K32)),NOT(ISNUMBER($P$3))),"",ROUND(($P$3-K32)*1440,0))</f>
        <v/>
      </c>
    </row>
    <row r="33" ht="26" customHeight="1">
      <c r="B33" s="84">
        <f>IF(C33="","",COUNTA($C$13:C33))</f>
        <v/>
      </c>
      <c r="C33" s="85" t="n"/>
      <c r="D33" s="86" t="n"/>
      <c r="E33" s="86" t="n"/>
      <c r="F33" s="87" t="n"/>
      <c r="G33" s="88" t="n"/>
      <c r="H33" s="88" t="n"/>
      <c r="I33" s="86" t="n"/>
      <c r="J33" s="89" t="n"/>
      <c r="K33" s="90">
        <f>IF(OR(J33="",AND(G33="",H33="")),"",IF(AND(ISNUMBER(J33),OR(G33="",ISNUMBER(G33)),OR(H33="",ISNUMBER(H33))),IF(H33&lt;&gt;"",H33,G33)+J33/1440,"Check times"))</f>
        <v/>
      </c>
      <c r="L33" s="91">
        <f>IF(ISNUMBER(T33),IF(T33&lt;0,"Late ","")&amp;IF(ABS(T33)&gt;=60,INT(ABS(T33)/60)&amp;"h "&amp;TEXT(MOD(ABS(T33),60),"00")&amp;"m",ABS(T33)&amp;"m"),"")</f>
        <v/>
      </c>
      <c r="M33" s="92">
        <f>IF(OR(I33="",NOT(ISNUMBER(G33)),NOT(ISNUMBER(H33))),"",IF(COUNTIFS($I$13:$I$50,I33,$G$13:$G$50,"&lt;"&amp;(H33-1/2880),$H$13:$H$50,"&gt;"&amp;(G33+1/2880))-IF(H33-G33&gt;1/1440,1,0)&gt;0,"Overlap","OK"))</f>
        <v/>
      </c>
      <c r="N33" s="88" t="n"/>
      <c r="O33" s="93" t="n"/>
      <c r="P33" s="94" t="n"/>
      <c r="S33">
        <f>IF(C33="","",IF(ISNUMBER(G33),G33,IF(ISNUMBER(H33),H33,1))+ROW()/1000000)</f>
        <v/>
      </c>
      <c r="T33">
        <f>IF(OR(NOT(ISNUMBER(K33)),NOT(ISNUMBER($P$3))),"",ROUND(($P$3-K33)*1440,0))</f>
        <v/>
      </c>
    </row>
    <row r="34" ht="26" customHeight="1">
      <c r="B34" s="95">
        <f>IF(C34="","",COUNTA($C$13:C34))</f>
        <v/>
      </c>
      <c r="C34" s="96" t="n"/>
      <c r="D34" s="97" t="n"/>
      <c r="E34" s="97" t="n"/>
      <c r="F34" s="98" t="n"/>
      <c r="G34" s="99" t="n"/>
      <c r="H34" s="99" t="n"/>
      <c r="I34" s="97" t="n"/>
      <c r="J34" s="100" t="n"/>
      <c r="K34" s="90">
        <f>IF(OR(J34="",AND(G34="",H34="")),"",IF(AND(ISNUMBER(J34),OR(G34="",ISNUMBER(G34)),OR(H34="",ISNUMBER(H34))),IF(H34&lt;&gt;"",H34,G34)+J34/1440,"Check times"))</f>
        <v/>
      </c>
      <c r="L34" s="91">
        <f>IF(ISNUMBER(T34),IF(T34&lt;0,"Late ","")&amp;IF(ABS(T34)&gt;=60,INT(ABS(T34)/60)&amp;"h "&amp;TEXT(MOD(ABS(T34),60),"00")&amp;"m",ABS(T34)&amp;"m"),"")</f>
        <v/>
      </c>
      <c r="M34" s="92">
        <f>IF(OR(I34="",NOT(ISNUMBER(G34)),NOT(ISNUMBER(H34))),"",IF(COUNTIFS($I$13:$I$50,I34,$G$13:$G$50,"&lt;"&amp;(H34-1/2880),$H$13:$H$50,"&gt;"&amp;(G34+1/2880))-IF(H34-G34&gt;1/1440,1,0)&gt;0,"Overlap","OK"))</f>
        <v/>
      </c>
      <c r="N34" s="99" t="n"/>
      <c r="O34" s="101" t="n"/>
      <c r="P34" s="102" t="n"/>
      <c r="S34">
        <f>IF(C34="","",IF(ISNUMBER(G34),G34,IF(ISNUMBER(H34),H34,1))+ROW()/1000000)</f>
        <v/>
      </c>
      <c r="T34">
        <f>IF(OR(NOT(ISNUMBER(K34)),NOT(ISNUMBER($P$3))),"",ROUND(($P$3-K34)*1440,0))</f>
        <v/>
      </c>
    </row>
    <row r="35" ht="26" customHeight="1">
      <c r="B35" s="84">
        <f>IF(C35="","",COUNTA($C$13:C35))</f>
        <v/>
      </c>
      <c r="C35" s="85" t="n"/>
      <c r="D35" s="86" t="n"/>
      <c r="E35" s="86" t="n"/>
      <c r="F35" s="87" t="n"/>
      <c r="G35" s="88" t="n"/>
      <c r="H35" s="88" t="n"/>
      <c r="I35" s="86" t="n"/>
      <c r="J35" s="89" t="n"/>
      <c r="K35" s="90">
        <f>IF(OR(J35="",AND(G35="",H35="")),"",IF(AND(ISNUMBER(J35),OR(G35="",ISNUMBER(G35)),OR(H35="",ISNUMBER(H35))),IF(H35&lt;&gt;"",H35,G35)+J35/1440,"Check times"))</f>
        <v/>
      </c>
      <c r="L35" s="91">
        <f>IF(ISNUMBER(T35),IF(T35&lt;0,"Late ","")&amp;IF(ABS(T35)&gt;=60,INT(ABS(T35)/60)&amp;"h "&amp;TEXT(MOD(ABS(T35),60),"00")&amp;"m",ABS(T35)&amp;"m"),"")</f>
        <v/>
      </c>
      <c r="M35" s="92">
        <f>IF(OR(I35="",NOT(ISNUMBER(G35)),NOT(ISNUMBER(H35))),"",IF(COUNTIFS($I$13:$I$50,I35,$G$13:$G$50,"&lt;"&amp;(H35-1/2880),$H$13:$H$50,"&gt;"&amp;(G35+1/2880))-IF(H35-G35&gt;1/1440,1,0)&gt;0,"Overlap","OK"))</f>
        <v/>
      </c>
      <c r="N35" s="88" t="n"/>
      <c r="O35" s="93" t="n"/>
      <c r="P35" s="94" t="n"/>
      <c r="S35">
        <f>IF(C35="","",IF(ISNUMBER(G35),G35,IF(ISNUMBER(H35),H35,1))+ROW()/1000000)</f>
        <v/>
      </c>
      <c r="T35">
        <f>IF(OR(NOT(ISNUMBER(K35)),NOT(ISNUMBER($P$3))),"",ROUND(($P$3-K35)*1440,0))</f>
        <v/>
      </c>
    </row>
    <row r="36" ht="26" customHeight="1">
      <c r="B36" s="95">
        <f>IF(C36="","",COUNTA($C$13:C36))</f>
        <v/>
      </c>
      <c r="C36" s="96" t="n"/>
      <c r="D36" s="97" t="n"/>
      <c r="E36" s="97" t="n"/>
      <c r="F36" s="98" t="n"/>
      <c r="G36" s="99" t="n"/>
      <c r="H36" s="99" t="n"/>
      <c r="I36" s="97" t="n"/>
      <c r="J36" s="100" t="n"/>
      <c r="K36" s="90">
        <f>IF(OR(J36="",AND(G36="",H36="")),"",IF(AND(ISNUMBER(J36),OR(G36="",ISNUMBER(G36)),OR(H36="",ISNUMBER(H36))),IF(H36&lt;&gt;"",H36,G36)+J36/1440,"Check times"))</f>
        <v/>
      </c>
      <c r="L36" s="91">
        <f>IF(ISNUMBER(T36),IF(T36&lt;0,"Late ","")&amp;IF(ABS(T36)&gt;=60,INT(ABS(T36)/60)&amp;"h "&amp;TEXT(MOD(ABS(T36),60),"00")&amp;"m",ABS(T36)&amp;"m"),"")</f>
        <v/>
      </c>
      <c r="M36" s="92">
        <f>IF(OR(I36="",NOT(ISNUMBER(G36)),NOT(ISNUMBER(H36))),"",IF(COUNTIFS($I$13:$I$50,I36,$G$13:$G$50,"&lt;"&amp;(H36-1/2880),$H$13:$H$50,"&gt;"&amp;(G36+1/2880))-IF(H36-G36&gt;1/1440,1,0)&gt;0,"Overlap","OK"))</f>
        <v/>
      </c>
      <c r="N36" s="99" t="n"/>
      <c r="O36" s="101" t="n"/>
      <c r="P36" s="102" t="n"/>
      <c r="S36">
        <f>IF(C36="","",IF(ISNUMBER(G36),G36,IF(ISNUMBER(H36),H36,1))+ROW()/1000000)</f>
        <v/>
      </c>
      <c r="T36">
        <f>IF(OR(NOT(ISNUMBER(K36)),NOT(ISNUMBER($P$3))),"",ROUND(($P$3-K36)*1440,0))</f>
        <v/>
      </c>
    </row>
    <row r="37" ht="26" customHeight="1">
      <c r="B37" s="84">
        <f>IF(C37="","",COUNTA($C$13:C37))</f>
        <v/>
      </c>
      <c r="C37" s="85" t="n"/>
      <c r="D37" s="86" t="n"/>
      <c r="E37" s="86" t="n"/>
      <c r="F37" s="87" t="n"/>
      <c r="G37" s="88" t="n"/>
      <c r="H37" s="88" t="n"/>
      <c r="I37" s="86" t="n"/>
      <c r="J37" s="89" t="n"/>
      <c r="K37" s="90">
        <f>IF(OR(J37="",AND(G37="",H37="")),"",IF(AND(ISNUMBER(J37),OR(G37="",ISNUMBER(G37)),OR(H37="",ISNUMBER(H37))),IF(H37&lt;&gt;"",H37,G37)+J37/1440,"Check times"))</f>
        <v/>
      </c>
      <c r="L37" s="91">
        <f>IF(ISNUMBER(T37),IF(T37&lt;0,"Late ","")&amp;IF(ABS(T37)&gt;=60,INT(ABS(T37)/60)&amp;"h "&amp;TEXT(MOD(ABS(T37),60),"00")&amp;"m",ABS(T37)&amp;"m"),"")</f>
        <v/>
      </c>
      <c r="M37" s="92">
        <f>IF(OR(I37="",NOT(ISNUMBER(G37)),NOT(ISNUMBER(H37))),"",IF(COUNTIFS($I$13:$I$50,I37,$G$13:$G$50,"&lt;"&amp;(H37-1/2880),$H$13:$H$50,"&gt;"&amp;(G37+1/2880))-IF(H37-G37&gt;1/1440,1,0)&gt;0,"Overlap","OK"))</f>
        <v/>
      </c>
      <c r="N37" s="88" t="n"/>
      <c r="O37" s="93" t="n"/>
      <c r="P37" s="94" t="n"/>
      <c r="S37">
        <f>IF(C37="","",IF(ISNUMBER(G37),G37,IF(ISNUMBER(H37),H37,1))+ROW()/1000000)</f>
        <v/>
      </c>
      <c r="T37">
        <f>IF(OR(NOT(ISNUMBER(K37)),NOT(ISNUMBER($P$3))),"",ROUND(($P$3-K37)*1440,0))</f>
        <v/>
      </c>
    </row>
    <row r="38" ht="26" customHeight="1">
      <c r="B38" s="95">
        <f>IF(C38="","",COUNTA($C$13:C38))</f>
        <v/>
      </c>
      <c r="C38" s="96" t="n"/>
      <c r="D38" s="97" t="n"/>
      <c r="E38" s="97" t="n"/>
      <c r="F38" s="98" t="n"/>
      <c r="G38" s="99" t="n"/>
      <c r="H38" s="99" t="n"/>
      <c r="I38" s="97" t="n"/>
      <c r="J38" s="100" t="n"/>
      <c r="K38" s="90">
        <f>IF(OR(J38="",AND(G38="",H38="")),"",IF(AND(ISNUMBER(J38),OR(G38="",ISNUMBER(G38)),OR(H38="",ISNUMBER(H38))),IF(H38&lt;&gt;"",H38,G38)+J38/1440,"Check times"))</f>
        <v/>
      </c>
      <c r="L38" s="91">
        <f>IF(ISNUMBER(T38),IF(T38&lt;0,"Late ","")&amp;IF(ABS(T38)&gt;=60,INT(ABS(T38)/60)&amp;"h "&amp;TEXT(MOD(ABS(T38),60),"00")&amp;"m",ABS(T38)&amp;"m"),"")</f>
        <v/>
      </c>
      <c r="M38" s="92">
        <f>IF(OR(I38="",NOT(ISNUMBER(G38)),NOT(ISNUMBER(H38))),"",IF(COUNTIFS($I$13:$I$50,I38,$G$13:$G$50,"&lt;"&amp;(H38-1/2880),$H$13:$H$50,"&gt;"&amp;(G38+1/2880))-IF(H38-G38&gt;1/1440,1,0)&gt;0,"Overlap","OK"))</f>
        <v/>
      </c>
      <c r="N38" s="99" t="n"/>
      <c r="O38" s="101" t="n"/>
      <c r="P38" s="102" t="n"/>
      <c r="S38">
        <f>IF(C38="","",IF(ISNUMBER(G38),G38,IF(ISNUMBER(H38),H38,1))+ROW()/1000000)</f>
        <v/>
      </c>
      <c r="T38">
        <f>IF(OR(NOT(ISNUMBER(K38)),NOT(ISNUMBER($P$3))),"",ROUND(($P$3-K38)*1440,0))</f>
        <v/>
      </c>
    </row>
    <row r="39" ht="26" customHeight="1">
      <c r="B39" s="84">
        <f>IF(C39="","",COUNTA($C$13:C39))</f>
        <v/>
      </c>
      <c r="C39" s="85" t="n"/>
      <c r="D39" s="86" t="n"/>
      <c r="E39" s="86" t="n"/>
      <c r="F39" s="87" t="n"/>
      <c r="G39" s="88" t="n"/>
      <c r="H39" s="88" t="n"/>
      <c r="I39" s="86" t="n"/>
      <c r="J39" s="89" t="n"/>
      <c r="K39" s="90">
        <f>IF(OR(J39="",AND(G39="",H39="")),"",IF(AND(ISNUMBER(J39),OR(G39="",ISNUMBER(G39)),OR(H39="",ISNUMBER(H39))),IF(H39&lt;&gt;"",H39,G39)+J39/1440,"Check times"))</f>
        <v/>
      </c>
      <c r="L39" s="91">
        <f>IF(ISNUMBER(T39),IF(T39&lt;0,"Late ","")&amp;IF(ABS(T39)&gt;=60,INT(ABS(T39)/60)&amp;"h "&amp;TEXT(MOD(ABS(T39),60),"00")&amp;"m",ABS(T39)&amp;"m"),"")</f>
        <v/>
      </c>
      <c r="M39" s="92">
        <f>IF(OR(I39="",NOT(ISNUMBER(G39)),NOT(ISNUMBER(H39))),"",IF(COUNTIFS($I$13:$I$50,I39,$G$13:$G$50,"&lt;"&amp;(H39-1/2880),$H$13:$H$50,"&gt;"&amp;(G39+1/2880))-IF(H39-G39&gt;1/1440,1,0)&gt;0,"Overlap","OK"))</f>
        <v/>
      </c>
      <c r="N39" s="88" t="n"/>
      <c r="O39" s="93" t="n"/>
      <c r="P39" s="94" t="n"/>
      <c r="S39">
        <f>IF(C39="","",IF(ISNUMBER(G39),G39,IF(ISNUMBER(H39),H39,1))+ROW()/1000000)</f>
        <v/>
      </c>
      <c r="T39">
        <f>IF(OR(NOT(ISNUMBER(K39)),NOT(ISNUMBER($P$3))),"",ROUND(($P$3-K39)*1440,0))</f>
        <v/>
      </c>
    </row>
    <row r="40" ht="26" customHeight="1">
      <c r="B40" s="95">
        <f>IF(C40="","",COUNTA($C$13:C40))</f>
        <v/>
      </c>
      <c r="C40" s="96" t="n"/>
      <c r="D40" s="97" t="n"/>
      <c r="E40" s="97" t="n"/>
      <c r="F40" s="98" t="n"/>
      <c r="G40" s="99" t="n"/>
      <c r="H40" s="99" t="n"/>
      <c r="I40" s="97" t="n"/>
      <c r="J40" s="100" t="n"/>
      <c r="K40" s="90">
        <f>IF(OR(J40="",AND(G40="",H40="")),"",IF(AND(ISNUMBER(J40),OR(G40="",ISNUMBER(G40)),OR(H40="",ISNUMBER(H40))),IF(H40&lt;&gt;"",H40,G40)+J40/1440,"Check times"))</f>
        <v/>
      </c>
      <c r="L40" s="91">
        <f>IF(ISNUMBER(T40),IF(T40&lt;0,"Late ","")&amp;IF(ABS(T40)&gt;=60,INT(ABS(T40)/60)&amp;"h "&amp;TEXT(MOD(ABS(T40),60),"00")&amp;"m",ABS(T40)&amp;"m"),"")</f>
        <v/>
      </c>
      <c r="M40" s="92">
        <f>IF(OR(I40="",NOT(ISNUMBER(G40)),NOT(ISNUMBER(H40))),"",IF(COUNTIFS($I$13:$I$50,I40,$G$13:$G$50,"&lt;"&amp;(H40-1/2880),$H$13:$H$50,"&gt;"&amp;(G40+1/2880))-IF(H40-G40&gt;1/1440,1,0)&gt;0,"Overlap","OK"))</f>
        <v/>
      </c>
      <c r="N40" s="99" t="n"/>
      <c r="O40" s="101" t="n"/>
      <c r="P40" s="102" t="n"/>
      <c r="S40">
        <f>IF(C40="","",IF(ISNUMBER(G40),G40,IF(ISNUMBER(H40),H40,1))+ROW()/1000000)</f>
        <v/>
      </c>
      <c r="T40">
        <f>IF(OR(NOT(ISNUMBER(K40)),NOT(ISNUMBER($P$3))),"",ROUND(($P$3-K40)*1440,0))</f>
        <v/>
      </c>
    </row>
    <row r="41" ht="26" customHeight="1">
      <c r="B41" s="84">
        <f>IF(C41="","",COUNTA($C$13:C41))</f>
        <v/>
      </c>
      <c r="C41" s="85" t="n"/>
      <c r="D41" s="86" t="n"/>
      <c r="E41" s="86" t="n"/>
      <c r="F41" s="87" t="n"/>
      <c r="G41" s="88" t="n"/>
      <c r="H41" s="88" t="n"/>
      <c r="I41" s="86" t="n"/>
      <c r="J41" s="89" t="n"/>
      <c r="K41" s="90">
        <f>IF(OR(J41="",AND(G41="",H41="")),"",IF(AND(ISNUMBER(J41),OR(G41="",ISNUMBER(G41)),OR(H41="",ISNUMBER(H41))),IF(H41&lt;&gt;"",H41,G41)+J41/1440,"Check times"))</f>
        <v/>
      </c>
      <c r="L41" s="91">
        <f>IF(ISNUMBER(T41),IF(T41&lt;0,"Late ","")&amp;IF(ABS(T41)&gt;=60,INT(ABS(T41)/60)&amp;"h "&amp;TEXT(MOD(ABS(T41),60),"00")&amp;"m",ABS(T41)&amp;"m"),"")</f>
        <v/>
      </c>
      <c r="M41" s="92">
        <f>IF(OR(I41="",NOT(ISNUMBER(G41)),NOT(ISNUMBER(H41))),"",IF(COUNTIFS($I$13:$I$50,I41,$G$13:$G$50,"&lt;"&amp;(H41-1/2880),$H$13:$H$50,"&gt;"&amp;(G41+1/2880))-IF(H41-G41&gt;1/1440,1,0)&gt;0,"Overlap","OK"))</f>
        <v/>
      </c>
      <c r="N41" s="88" t="n"/>
      <c r="O41" s="93" t="n"/>
      <c r="P41" s="94" t="n"/>
      <c r="S41">
        <f>IF(C41="","",IF(ISNUMBER(G41),G41,IF(ISNUMBER(H41),H41,1))+ROW()/1000000)</f>
        <v/>
      </c>
      <c r="T41">
        <f>IF(OR(NOT(ISNUMBER(K41)),NOT(ISNUMBER($P$3))),"",ROUND(($P$3-K41)*1440,0))</f>
        <v/>
      </c>
    </row>
    <row r="42" ht="26" customHeight="1">
      <c r="B42" s="95">
        <f>IF(C42="","",COUNTA($C$13:C42))</f>
        <v/>
      </c>
      <c r="C42" s="96" t="n"/>
      <c r="D42" s="97" t="n"/>
      <c r="E42" s="97" t="n"/>
      <c r="F42" s="98" t="n"/>
      <c r="G42" s="99" t="n"/>
      <c r="H42" s="99" t="n"/>
      <c r="I42" s="97" t="n"/>
      <c r="J42" s="100" t="n"/>
      <c r="K42" s="90">
        <f>IF(OR(J42="",AND(G42="",H42="")),"",IF(AND(ISNUMBER(J42),OR(G42="",ISNUMBER(G42)),OR(H42="",ISNUMBER(H42))),IF(H42&lt;&gt;"",H42,G42)+J42/1440,"Check times"))</f>
        <v/>
      </c>
      <c r="L42" s="91">
        <f>IF(ISNUMBER(T42),IF(T42&lt;0,"Late ","")&amp;IF(ABS(T42)&gt;=60,INT(ABS(T42)/60)&amp;"h "&amp;TEXT(MOD(ABS(T42),60),"00")&amp;"m",ABS(T42)&amp;"m"),"")</f>
        <v/>
      </c>
      <c r="M42" s="92">
        <f>IF(OR(I42="",NOT(ISNUMBER(G42)),NOT(ISNUMBER(H42))),"",IF(COUNTIFS($I$13:$I$50,I42,$G$13:$G$50,"&lt;"&amp;(H42-1/2880),$H$13:$H$50,"&gt;"&amp;(G42+1/2880))-IF(H42-G42&gt;1/1440,1,0)&gt;0,"Overlap","OK"))</f>
        <v/>
      </c>
      <c r="N42" s="99" t="n"/>
      <c r="O42" s="101" t="n"/>
      <c r="P42" s="102" t="n"/>
      <c r="S42">
        <f>IF(C42="","",IF(ISNUMBER(G42),G42,IF(ISNUMBER(H42),H42,1))+ROW()/1000000)</f>
        <v/>
      </c>
      <c r="T42">
        <f>IF(OR(NOT(ISNUMBER(K42)),NOT(ISNUMBER($P$3))),"",ROUND(($P$3-K42)*1440,0))</f>
        <v/>
      </c>
    </row>
    <row r="43" ht="26" customHeight="1">
      <c r="B43" s="84">
        <f>IF(C43="","",COUNTA($C$13:C43))</f>
        <v/>
      </c>
      <c r="C43" s="85" t="n"/>
      <c r="D43" s="86" t="n"/>
      <c r="E43" s="86" t="n"/>
      <c r="F43" s="87" t="n"/>
      <c r="G43" s="88" t="n"/>
      <c r="H43" s="88" t="n"/>
      <c r="I43" s="86" t="n"/>
      <c r="J43" s="89" t="n"/>
      <c r="K43" s="90">
        <f>IF(OR(J43="",AND(G43="",H43="")),"",IF(AND(ISNUMBER(J43),OR(G43="",ISNUMBER(G43)),OR(H43="",ISNUMBER(H43))),IF(H43&lt;&gt;"",H43,G43)+J43/1440,"Check times"))</f>
        <v/>
      </c>
      <c r="L43" s="91">
        <f>IF(ISNUMBER(T43),IF(T43&lt;0,"Late ","")&amp;IF(ABS(T43)&gt;=60,INT(ABS(T43)/60)&amp;"h "&amp;TEXT(MOD(ABS(T43),60),"00")&amp;"m",ABS(T43)&amp;"m"),"")</f>
        <v/>
      </c>
      <c r="M43" s="92">
        <f>IF(OR(I43="",NOT(ISNUMBER(G43)),NOT(ISNUMBER(H43))),"",IF(COUNTIFS($I$13:$I$50,I43,$G$13:$G$50,"&lt;"&amp;(H43-1/2880),$H$13:$H$50,"&gt;"&amp;(G43+1/2880))-IF(H43-G43&gt;1/1440,1,0)&gt;0,"Overlap","OK"))</f>
        <v/>
      </c>
      <c r="N43" s="88" t="n"/>
      <c r="O43" s="93" t="n"/>
      <c r="P43" s="94" t="n"/>
      <c r="S43">
        <f>IF(C43="","",IF(ISNUMBER(G43),G43,IF(ISNUMBER(H43),H43,1))+ROW()/1000000)</f>
        <v/>
      </c>
      <c r="T43">
        <f>IF(OR(NOT(ISNUMBER(K43)),NOT(ISNUMBER($P$3))),"",ROUND(($P$3-K43)*1440,0))</f>
        <v/>
      </c>
    </row>
    <row r="44" ht="26" customHeight="1">
      <c r="B44" s="95">
        <f>IF(C44="","",COUNTA($C$13:C44))</f>
        <v/>
      </c>
      <c r="C44" s="96" t="n"/>
      <c r="D44" s="97" t="n"/>
      <c r="E44" s="97" t="n"/>
      <c r="F44" s="98" t="n"/>
      <c r="G44" s="99" t="n"/>
      <c r="H44" s="99" t="n"/>
      <c r="I44" s="97" t="n"/>
      <c r="J44" s="100" t="n"/>
      <c r="K44" s="90">
        <f>IF(OR(J44="",AND(G44="",H44="")),"",IF(AND(ISNUMBER(J44),OR(G44="",ISNUMBER(G44)),OR(H44="",ISNUMBER(H44))),IF(H44&lt;&gt;"",H44,G44)+J44/1440,"Check times"))</f>
        <v/>
      </c>
      <c r="L44" s="91">
        <f>IF(ISNUMBER(T44),IF(T44&lt;0,"Late ","")&amp;IF(ABS(T44)&gt;=60,INT(ABS(T44)/60)&amp;"h "&amp;TEXT(MOD(ABS(T44),60),"00")&amp;"m",ABS(T44)&amp;"m"),"")</f>
        <v/>
      </c>
      <c r="M44" s="92">
        <f>IF(OR(I44="",NOT(ISNUMBER(G44)),NOT(ISNUMBER(H44))),"",IF(COUNTIFS($I$13:$I$50,I44,$G$13:$G$50,"&lt;"&amp;(H44-1/2880),$H$13:$H$50,"&gt;"&amp;(G44+1/2880))-IF(H44-G44&gt;1/1440,1,0)&gt;0,"Overlap","OK"))</f>
        <v/>
      </c>
      <c r="N44" s="99" t="n"/>
      <c r="O44" s="101" t="n"/>
      <c r="P44" s="102" t="n"/>
      <c r="S44">
        <f>IF(C44="","",IF(ISNUMBER(G44),G44,IF(ISNUMBER(H44),H44,1))+ROW()/1000000)</f>
        <v/>
      </c>
      <c r="T44">
        <f>IF(OR(NOT(ISNUMBER(K44)),NOT(ISNUMBER($P$3))),"",ROUND(($P$3-K44)*1440,0))</f>
        <v/>
      </c>
    </row>
    <row r="45" ht="26" customHeight="1">
      <c r="B45" s="84">
        <f>IF(C45="","",COUNTA($C$13:C45))</f>
        <v/>
      </c>
      <c r="C45" s="85" t="n"/>
      <c r="D45" s="86" t="n"/>
      <c r="E45" s="86" t="n"/>
      <c r="F45" s="87" t="n"/>
      <c r="G45" s="88" t="n"/>
      <c r="H45" s="88" t="n"/>
      <c r="I45" s="86" t="n"/>
      <c r="J45" s="89" t="n"/>
      <c r="K45" s="90">
        <f>IF(OR(J45="",AND(G45="",H45="")),"",IF(AND(ISNUMBER(J45),OR(G45="",ISNUMBER(G45)),OR(H45="",ISNUMBER(H45))),IF(H45&lt;&gt;"",H45,G45)+J45/1440,"Check times"))</f>
        <v/>
      </c>
      <c r="L45" s="91">
        <f>IF(ISNUMBER(T45),IF(T45&lt;0,"Late ","")&amp;IF(ABS(T45)&gt;=60,INT(ABS(T45)/60)&amp;"h "&amp;TEXT(MOD(ABS(T45),60),"00")&amp;"m",ABS(T45)&amp;"m"),"")</f>
        <v/>
      </c>
      <c r="M45" s="92">
        <f>IF(OR(I45="",NOT(ISNUMBER(G45)),NOT(ISNUMBER(H45))),"",IF(COUNTIFS($I$13:$I$50,I45,$G$13:$G$50,"&lt;"&amp;(H45-1/2880),$H$13:$H$50,"&gt;"&amp;(G45+1/2880))-IF(H45-G45&gt;1/1440,1,0)&gt;0,"Overlap","OK"))</f>
        <v/>
      </c>
      <c r="N45" s="88" t="n"/>
      <c r="O45" s="93" t="n"/>
      <c r="P45" s="94" t="n"/>
      <c r="S45">
        <f>IF(C45="","",IF(ISNUMBER(G45),G45,IF(ISNUMBER(H45),H45,1))+ROW()/1000000)</f>
        <v/>
      </c>
      <c r="T45">
        <f>IF(OR(NOT(ISNUMBER(K45)),NOT(ISNUMBER($P$3))),"",ROUND(($P$3-K45)*1440,0))</f>
        <v/>
      </c>
    </row>
    <row r="46" ht="26" customHeight="1">
      <c r="B46" s="95">
        <f>IF(C46="","",COUNTA($C$13:C46))</f>
        <v/>
      </c>
      <c r="C46" s="96" t="n"/>
      <c r="D46" s="97" t="n"/>
      <c r="E46" s="97" t="n"/>
      <c r="F46" s="98" t="n"/>
      <c r="G46" s="99" t="n"/>
      <c r="H46" s="99" t="n"/>
      <c r="I46" s="97" t="n"/>
      <c r="J46" s="100" t="n"/>
      <c r="K46" s="90">
        <f>IF(OR(J46="",AND(G46="",H46="")),"",IF(AND(ISNUMBER(J46),OR(G46="",ISNUMBER(G46)),OR(H46="",ISNUMBER(H46))),IF(H46&lt;&gt;"",H46,G46)+J46/1440,"Check times"))</f>
        <v/>
      </c>
      <c r="L46" s="91">
        <f>IF(ISNUMBER(T46),IF(T46&lt;0,"Late ","")&amp;IF(ABS(T46)&gt;=60,INT(ABS(T46)/60)&amp;"h "&amp;TEXT(MOD(ABS(T46),60),"00")&amp;"m",ABS(T46)&amp;"m"),"")</f>
        <v/>
      </c>
      <c r="M46" s="92">
        <f>IF(OR(I46="",NOT(ISNUMBER(G46)),NOT(ISNUMBER(H46))),"",IF(COUNTIFS($I$13:$I$50,I46,$G$13:$G$50,"&lt;"&amp;(H46-1/2880),$H$13:$H$50,"&gt;"&amp;(G46+1/2880))-IF(H46-G46&gt;1/1440,1,0)&gt;0,"Overlap","OK"))</f>
        <v/>
      </c>
      <c r="N46" s="99" t="n"/>
      <c r="O46" s="101" t="n"/>
      <c r="P46" s="102" t="n"/>
      <c r="S46">
        <f>IF(C46="","",IF(ISNUMBER(G46),G46,IF(ISNUMBER(H46),H46,1))+ROW()/1000000)</f>
        <v/>
      </c>
      <c r="T46">
        <f>IF(OR(NOT(ISNUMBER(K46)),NOT(ISNUMBER($P$3))),"",ROUND(($P$3-K46)*1440,0))</f>
        <v/>
      </c>
    </row>
    <row r="47" ht="26" customHeight="1">
      <c r="B47" s="84">
        <f>IF(C47="","",COUNTA($C$13:C47))</f>
        <v/>
      </c>
      <c r="C47" s="85" t="n"/>
      <c r="D47" s="86" t="n"/>
      <c r="E47" s="86" t="n"/>
      <c r="F47" s="87" t="n"/>
      <c r="G47" s="88" t="n"/>
      <c r="H47" s="88" t="n"/>
      <c r="I47" s="86" t="n"/>
      <c r="J47" s="89" t="n"/>
      <c r="K47" s="90">
        <f>IF(OR(J47="",AND(G47="",H47="")),"",IF(AND(ISNUMBER(J47),OR(G47="",ISNUMBER(G47)),OR(H47="",ISNUMBER(H47))),IF(H47&lt;&gt;"",H47,G47)+J47/1440,"Check times"))</f>
        <v/>
      </c>
      <c r="L47" s="91">
        <f>IF(ISNUMBER(T47),IF(T47&lt;0,"Late ","")&amp;IF(ABS(T47)&gt;=60,INT(ABS(T47)/60)&amp;"h "&amp;TEXT(MOD(ABS(T47),60),"00")&amp;"m",ABS(T47)&amp;"m"),"")</f>
        <v/>
      </c>
      <c r="M47" s="92">
        <f>IF(OR(I47="",NOT(ISNUMBER(G47)),NOT(ISNUMBER(H47))),"",IF(COUNTIFS($I$13:$I$50,I47,$G$13:$G$50,"&lt;"&amp;(H47-1/2880),$H$13:$H$50,"&gt;"&amp;(G47+1/2880))-IF(H47-G47&gt;1/1440,1,0)&gt;0,"Overlap","OK"))</f>
        <v/>
      </c>
      <c r="N47" s="88" t="n"/>
      <c r="O47" s="93" t="n"/>
      <c r="P47" s="94" t="n"/>
      <c r="S47">
        <f>IF(C47="","",IF(ISNUMBER(G47),G47,IF(ISNUMBER(H47),H47,1))+ROW()/1000000)</f>
        <v/>
      </c>
      <c r="T47">
        <f>IF(OR(NOT(ISNUMBER(K47)),NOT(ISNUMBER($P$3))),"",ROUND(($P$3-K47)*1440,0))</f>
        <v/>
      </c>
    </row>
    <row r="48" ht="26" customHeight="1">
      <c r="B48" s="95">
        <f>IF(C48="","",COUNTA($C$13:C48))</f>
        <v/>
      </c>
      <c r="C48" s="96" t="n"/>
      <c r="D48" s="97" t="n"/>
      <c r="E48" s="97" t="n"/>
      <c r="F48" s="98" t="n"/>
      <c r="G48" s="99" t="n"/>
      <c r="H48" s="99" t="n"/>
      <c r="I48" s="97" t="n"/>
      <c r="J48" s="100" t="n"/>
      <c r="K48" s="90">
        <f>IF(OR(J48="",AND(G48="",H48="")),"",IF(AND(ISNUMBER(J48),OR(G48="",ISNUMBER(G48)),OR(H48="",ISNUMBER(H48))),IF(H48&lt;&gt;"",H48,G48)+J48/1440,"Check times"))</f>
        <v/>
      </c>
      <c r="L48" s="91">
        <f>IF(ISNUMBER(T48),IF(T48&lt;0,"Late ","")&amp;IF(ABS(T48)&gt;=60,INT(ABS(T48)/60)&amp;"h "&amp;TEXT(MOD(ABS(T48),60),"00")&amp;"m",ABS(T48)&amp;"m"),"")</f>
        <v/>
      </c>
      <c r="M48" s="92">
        <f>IF(OR(I48="",NOT(ISNUMBER(G48)),NOT(ISNUMBER(H48))),"",IF(COUNTIFS($I$13:$I$50,I48,$G$13:$G$50,"&lt;"&amp;(H48-1/2880),$H$13:$H$50,"&gt;"&amp;(G48+1/2880))-IF(H48-G48&gt;1/1440,1,0)&gt;0,"Overlap","OK"))</f>
        <v/>
      </c>
      <c r="N48" s="99" t="n"/>
      <c r="O48" s="101" t="n"/>
      <c r="P48" s="102" t="n"/>
      <c r="S48">
        <f>IF(C48="","",IF(ISNUMBER(G48),G48,IF(ISNUMBER(H48),H48,1))+ROW()/1000000)</f>
        <v/>
      </c>
      <c r="T48">
        <f>IF(OR(NOT(ISNUMBER(K48)),NOT(ISNUMBER($P$3))),"",ROUND(($P$3-K48)*1440,0))</f>
        <v/>
      </c>
    </row>
    <row r="49" ht="26" customHeight="1">
      <c r="B49" s="84">
        <f>IF(C49="","",COUNTA($C$13:C49))</f>
        <v/>
      </c>
      <c r="C49" s="85" t="n"/>
      <c r="D49" s="86" t="n"/>
      <c r="E49" s="86" t="n"/>
      <c r="F49" s="87" t="n"/>
      <c r="G49" s="88" t="n"/>
      <c r="H49" s="88" t="n"/>
      <c r="I49" s="86" t="n"/>
      <c r="J49" s="89" t="n"/>
      <c r="K49" s="90">
        <f>IF(OR(J49="",AND(G49="",H49="")),"",IF(AND(ISNUMBER(J49),OR(G49="",ISNUMBER(G49)),OR(H49="",ISNUMBER(H49))),IF(H49&lt;&gt;"",H49,G49)+J49/1440,"Check times"))</f>
        <v/>
      </c>
      <c r="L49" s="91">
        <f>IF(ISNUMBER(T49),IF(T49&lt;0,"Late ","")&amp;IF(ABS(T49)&gt;=60,INT(ABS(T49)/60)&amp;"h "&amp;TEXT(MOD(ABS(T49),60),"00")&amp;"m",ABS(T49)&amp;"m"),"")</f>
        <v/>
      </c>
      <c r="M49" s="92">
        <f>IF(OR(I49="",NOT(ISNUMBER(G49)),NOT(ISNUMBER(H49))),"",IF(COUNTIFS($I$13:$I$50,I49,$G$13:$G$50,"&lt;"&amp;(H49-1/2880),$H$13:$H$50,"&gt;"&amp;(G49+1/2880))-IF(H49-G49&gt;1/1440,1,0)&gt;0,"Overlap","OK"))</f>
        <v/>
      </c>
      <c r="N49" s="88" t="n"/>
      <c r="O49" s="93" t="n"/>
      <c r="P49" s="94" t="n"/>
      <c r="S49">
        <f>IF(C49="","",IF(ISNUMBER(G49),G49,IF(ISNUMBER(H49),H49,1))+ROW()/1000000)</f>
        <v/>
      </c>
      <c r="T49">
        <f>IF(OR(NOT(ISNUMBER(K49)),NOT(ISNUMBER($P$3))),"",ROUND(($P$3-K49)*1440,0))</f>
        <v/>
      </c>
    </row>
    <row r="50" ht="26" customHeight="1">
      <c r="B50" s="95">
        <f>IF(C50="","",COUNTA($C$13:C50))</f>
        <v/>
      </c>
      <c r="C50" s="96" t="n"/>
      <c r="D50" s="97" t="n"/>
      <c r="E50" s="97" t="n"/>
      <c r="F50" s="98" t="n"/>
      <c r="G50" s="99" t="n"/>
      <c r="H50" s="99" t="n"/>
      <c r="I50" s="97" t="n"/>
      <c r="J50" s="100" t="n"/>
      <c r="K50" s="90">
        <f>IF(OR(J50="",AND(G50="",H50="")),"",IF(AND(ISNUMBER(J50),OR(G50="",ISNUMBER(G50)),OR(H50="",ISNUMBER(H50))),IF(H50&lt;&gt;"",H50,G50)+J50/1440,"Check times"))</f>
        <v/>
      </c>
      <c r="L50" s="91">
        <f>IF(ISNUMBER(T50),IF(T50&lt;0,"Late ","")&amp;IF(ABS(T50)&gt;=60,INT(ABS(T50)/60)&amp;"h "&amp;TEXT(MOD(ABS(T50),60),"00")&amp;"m",ABS(T50)&amp;"m"),"")</f>
        <v/>
      </c>
      <c r="M50" s="92">
        <f>IF(OR(I50="",NOT(ISNUMBER(G50)),NOT(ISNUMBER(H50))),"",IF(COUNTIFS($I$13:$I$50,I50,$G$13:$G$50,"&lt;"&amp;(H50-1/2880),$H$13:$H$50,"&gt;"&amp;(G50+1/2880))-IF(H50-G50&gt;1/1440,1,0)&gt;0,"Overlap","OK"))</f>
        <v/>
      </c>
      <c r="N50" s="99" t="n"/>
      <c r="O50" s="101" t="n"/>
      <c r="P50" s="102" t="n"/>
      <c r="S50">
        <f>IF(C50="","",IF(ISNUMBER(G50),G50,IF(ISNUMBER(H50),H50,1))+ROW()/1000000)</f>
        <v/>
      </c>
      <c r="T50">
        <f>IF(OR(NOT(ISNUMBER(K50)),NOT(ISNUMBER($P$3))),"",ROUND(($P$3-K50)*1440,0))</f>
        <v/>
      </c>
    </row>
    <row r="51" ht="10" customHeight="1"/>
    <row r="52" ht="26" customHeight="1">
      <c r="B52" s="103" t="inlineStr">
        <is>
          <r>
            <rPr>
              <rFont val="Arial"/>
              <b val="1"/>
              <color rgb="0064748B"/>
              <sz val="8"/>
            </rPr>
            <t xml:space="preserve">How to read the flags:  </t>
          </r>
          <r>
            <rPr>
              <rFont val="Arial"/>
              <b val="1"/>
              <color rgb="00B91C1C"/>
              <sz val="8"/>
            </rPr>
            <t>Red</t>
          </r>
          <r>
            <rPr>
              <rFont val="Arial"/>
              <color rgb="0064748B"/>
              <sz val="8"/>
            </rPr>
            <t xml:space="preserve"> means setup finishes after doors, the window is backwards, or load-out runs past the deadline.  </t>
          </r>
          <r>
            <rPr>
              <rFont val="Arial"/>
              <b val="1"/>
              <color rgb="00C2410C"/>
              <sz val="8"/>
            </rPr>
            <t>Orange</t>
          </r>
          <r>
            <rPr>
              <rFont val="Arial"/>
              <color rgb="0064748B"/>
              <sz val="8"/>
            </rPr>
            <t xml:space="preserve"> means less buffer than your minimum, an arrival before access opens, or two vendors at the same entrance at overlapping times. Setup complete by = end of window + setup time.</t>
          </r>
        </is>
      </c>
      <c r="C52" s="103" t="n"/>
      <c r="D52" s="103" t="n"/>
      <c r="E52" s="103" t="n"/>
      <c r="F52" s="103" t="n"/>
      <c r="G52" s="103" t="n"/>
      <c r="H52" s="103" t="n"/>
      <c r="I52" s="103" t="n"/>
      <c r="J52" s="103" t="n"/>
      <c r="K52" s="103" t="n"/>
      <c r="L52" s="103" t="n"/>
      <c r="M52" s="103" t="n"/>
      <c r="N52" s="103" t="n"/>
      <c r="O52" s="103" t="n"/>
      <c r="P52" s="103" t="n"/>
    </row>
    <row r="53" ht="8" customHeight="1"/>
    <row r="54" ht="22" customHeight="1">
      <c r="D54" s="104" t="inlineStr">
        <is>
          <t>Made with ETA Tracker · etatracker.io</t>
        </is>
      </c>
      <c r="P54" s="105" t="inlineStr">
        <is>
          <t>Free template. Copy, edit, and share it.</t>
        </is>
      </c>
    </row>
  </sheetData>
  <mergeCells count="33">
    <mergeCell ref="E3:L3"/>
    <mergeCell ref="G10:I10"/>
    <mergeCell ref="M10:O10"/>
    <mergeCell ref="B2:D6"/>
    <mergeCell ref="B8:D8"/>
    <mergeCell ref="G11:H11"/>
    <mergeCell ref="B52:P52"/>
    <mergeCell ref="E5:L5"/>
    <mergeCell ref="M6:O6"/>
    <mergeCell ref="E8:F8"/>
    <mergeCell ref="B10:D10"/>
    <mergeCell ref="E4:L4"/>
    <mergeCell ref="E10:F10"/>
    <mergeCell ref="M3:O3"/>
    <mergeCell ref="B9:D9"/>
    <mergeCell ref="M8:O8"/>
    <mergeCell ref="E9:F9"/>
    <mergeCell ref="P10"/>
    <mergeCell ref="P9"/>
    <mergeCell ref="E6:L6"/>
    <mergeCell ref="M4:O4"/>
    <mergeCell ref="G9:I9"/>
    <mergeCell ref="J8:L8"/>
    <mergeCell ref="P8"/>
    <mergeCell ref="J10:L10"/>
    <mergeCell ref="M9:O9"/>
    <mergeCell ref="M7:P7"/>
    <mergeCell ref="M5:O5"/>
    <mergeCell ref="G8:I8"/>
    <mergeCell ref="J9:L9"/>
    <mergeCell ref="D54:H54"/>
    <mergeCell ref="M2:O2"/>
    <mergeCell ref="K11:M11"/>
  </mergeCells>
  <conditionalFormatting sqref="K13:L50">
    <cfRule type="expression" priority="1" dxfId="0" stopIfTrue="0">
      <formula>AND(ISNUMBER($T13),$T13&lt;0)</formula>
    </cfRule>
    <cfRule type="expression" priority="2" dxfId="1" stopIfTrue="0">
      <formula>AND(ISNUMBER($T13),$T13&gt;=0,$T13&lt;IF(ISNUMBER($P$6),$P$6,0))</formula>
    </cfRule>
  </conditionalFormatting>
  <conditionalFormatting sqref="K13:K50">
    <cfRule type="expression" priority="3" dxfId="0" stopIfTrue="0">
      <formula>$K13="Check times"</formula>
    </cfRule>
  </conditionalFormatting>
  <conditionalFormatting sqref="M13:M50">
    <cfRule type="expression" priority="4" dxfId="1" stopIfTrue="0">
      <formula>$M13="Overlap"</formula>
    </cfRule>
  </conditionalFormatting>
  <conditionalFormatting sqref="I13:I50">
    <cfRule type="expression" priority="5" dxfId="2" stopIfTrue="0">
      <formula>$M13="Overlap"</formula>
    </cfRule>
  </conditionalFormatting>
  <conditionalFormatting sqref="G13:G50">
    <cfRule type="expression" priority="6" dxfId="1" stopIfTrue="0">
      <formula>AND(ISNUMBER($G13),ISNUMBER($P$2),$G13&lt;$P$2-1/2880)</formula>
    </cfRule>
  </conditionalFormatting>
  <conditionalFormatting sqref="G13:H50">
    <cfRule type="expression" priority="7" dxfId="0" stopIfTrue="0">
      <formula>AND(ISNUMBER($G13),ISNUMBER($H13),$H13&lt;$G13)</formula>
    </cfRule>
  </conditionalFormatting>
  <conditionalFormatting sqref="N13:N50">
    <cfRule type="expression" priority="8" dxfId="0" stopIfTrue="0">
      <formula>AND(ISNUMBER($N13),ISNUMBER($P$5),$N13&gt;$P$5+1/2880)</formula>
    </cfRule>
  </conditionalFormatting>
  <conditionalFormatting sqref="O13:O50">
    <cfRule type="expression" priority="9" dxfId="3" stopIfTrue="0">
      <formula>$O13="Not confirmed"</formula>
    </cfRule>
    <cfRule type="expression" priority="10" dxfId="4" stopIfTrue="0">
      <formula>$O13="Confirmed"</formula>
    </cfRule>
    <cfRule type="expression" priority="11" dxfId="5" stopIfTrue="0">
      <formula>$O13="On the way"</formula>
    </cfRule>
    <cfRule type="expression" priority="12" dxfId="6" stopIfTrue="0">
      <formula>$O13="Arrived"</formula>
    </cfRule>
    <cfRule type="expression" priority="13" dxfId="7" stopIfTrue="0">
      <formula>$O13="Setup complete"</formula>
    </cfRule>
  </conditionalFormatting>
  <conditionalFormatting sqref="M9:O9">
    <cfRule type="expression" priority="14" dxfId="0" stopIfTrue="0">
      <formula>AND(ISNUMBER($T$9),$T$9&lt;0)</formula>
    </cfRule>
    <cfRule type="expression" priority="15" dxfId="1" stopIfTrue="0">
      <formula>AND(ISNUMBER($T$9),$T$9&gt;=0,$T$9&lt;IF(ISNUMBER($P$6),$P$6,0))</formula>
    </cfRule>
  </conditionalFormatting>
  <conditionalFormatting sqref="P9">
    <cfRule type="expression" priority="16" dxfId="1" stopIfTrue="0">
      <formula>AND(ISNUMBER($P$9),$P$9&gt;0)</formula>
    </cfRule>
  </conditionalFormatting>
  <dataValidations count="5">
    <dataValidation sqref="D13:D50" showDropDown="0" showInputMessage="0" showErrorMessage="1" allowBlank="1" errorTitle="Category" error="That is not one of the listed options. Keep it anyway?" type="list" errorStyle="warning">
      <formula1>"Rentals,Tent,Staging,Lighting,AV / Sound,Power / Generator,Florist,Decor,Catering,Bar,Cake / Desserts,Entertainment / DJ / Band,Photo / Video,Officiant / Speaker,Signage / Print,Furniture,Transportation,Security,Cleaning,Other"</formula1>
    </dataValidation>
    <dataValidation sqref="O13:O50" showDropDown="0" showInputMessage="0" showErrorMessage="1" allowBlank="1" errorTitle="Status" error="Choose one of the options in the dropdown." type="list" errorStyle="stop">
      <formula1>"Not confirmed,Confirmed,On the way,Arrived,Setup complete"</formula1>
    </dataValidation>
    <dataValidation sqref="G13:H50" showDropDown="0" showInputMessage="0" showErrorMessage="1" allowBlank="1" errorTitle="Enter a time" error="Enter an arrival time like 7:30 AM or 14:30 (one day only)." type="decimal" operator="between">
      <formula1>0</formula1>
      <formula2>0.99999</formula2>
    </dataValidation>
    <dataValidation sqref="N13:N50" showDropDown="0" showInputMessage="0" showErrorMessage="1" allowBlank="1" errorTitle="Enter a time" error="Enter a load-out time like 7:30 AM or 14:30 (one day only)." type="decimal" operator="between">
      <formula1>0</formula1>
      <formula2>0.99999</formula2>
    </dataValidation>
    <dataValidation sqref="J13:J50" showDropDown="0" showInputMessage="0" showErrorMessage="1" allowBlank="1" errorTitle="Minutes" error="Enter a whole number of minutes between 0 and 1440 (for example 90 for an hour and a half)." type="whole" operator="between">
      <formula1>0</formula1>
      <formula2>1440</formula2>
    </dataValidation>
  </dataValidations>
  <hyperlinks>
    <hyperlink xmlns:r="http://schemas.openxmlformats.org/officeDocument/2006/relationships" ref="D54" r:id="rId1"/>
  </hyperlinks>
  <printOptions horizontalCentered="1"/>
  <pageMargins left="0.25" right="0.25" top="0.4" bottom="0.5" header="0.2" footer="0.25"/>
  <pageSetup orientation="landscape" paperSize="1" fitToHeight="0" fitToWidth="1"/>
  <headerFooter>
    <oddHeader/>
    <oddFooter>&amp;L&amp;"Arial,Regular"&amp;8 &amp;K64748BMade with ETA Tracker · etatracker.io&amp;R&amp;"Arial,Regular"&amp;8 &amp;K64748BPage &amp;P of &amp;N</oddFooter>
    <evenHeader/>
    <evenFooter>&amp;L&amp;"Arial,Regular"&amp;8 &amp;K64748BMade with ETA Tracker · etatracker.io&amp;R&amp;"Arial,Regular"&amp;8 &amp;K64748BPage &amp;P of &amp;N</evenFooter>
    <firstHeader/>
    <firstFooter>&amp;L&amp;"Arial,Regular"&amp;8 &amp;K64748BMade with ETA Tracker · etatracker.io&amp;R&amp;"Arial,Regular"&amp;8 &amp;K64748BPage &amp;P of &amp;N</firstFooter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M48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.5" customWidth="1" min="1" max="1"/>
    <col width="4" customWidth="1" min="2" max="2"/>
    <col width="9.5" customWidth="1" min="3" max="3"/>
    <col width="9.5" customWidth="1" min="4" max="4"/>
    <col width="25" customWidth="1" min="5" max="5"/>
    <col width="19" customWidth="1" min="6" max="6"/>
    <col width="17" customWidth="1" min="7" max="7"/>
    <col width="14.5" customWidth="1" min="8" max="8"/>
    <col width="18" customWidth="1" min="9" max="9"/>
    <col width="7.5" customWidth="1" min="10" max="10"/>
    <col width="16" customWidth="1" min="11" max="11"/>
    <col width="1.5" customWidth="1" min="12" max="12"/>
    <col hidden="1" width="6" customWidth="1" min="13" max="13"/>
  </cols>
  <sheetData>
    <row r="1" ht="8" customHeight="1"/>
    <row r="2" ht="16" customHeight="1">
      <c r="B2" s="106" t="inlineStr">
        <is>
          <t>DAY-OF CALL SHEET</t>
        </is>
      </c>
      <c r="G2" s="107" t="inlineStr">
        <is>
          <t>PLANNER</t>
        </is>
      </c>
      <c r="H2" s="108">
        <f>IF('Event Info'!$C$23="","",'Event Info'!$C$23)</f>
        <v/>
      </c>
      <c r="I2" s="108" t="n"/>
      <c r="J2" s="108">
        <f>IF('Event Info'!$C$24="","",'Event Info'!$C$24)</f>
        <v/>
      </c>
      <c r="K2" s="108" t="n"/>
    </row>
    <row r="3" ht="26" customHeight="1">
      <c r="B3" s="109">
        <f>IF('Event Info'!$C$6="","Your event name",'Event Info'!$C$6)</f>
        <v/>
      </c>
      <c r="C3" s="109" t="n"/>
      <c r="D3" s="109" t="n"/>
      <c r="E3" s="109" t="n"/>
      <c r="F3" s="109" t="n"/>
      <c r="G3" s="107" t="inlineStr">
        <is>
          <t>VENUE</t>
        </is>
      </c>
      <c r="H3" s="108">
        <f>IF('Event Info'!$C$25="","",'Event Info'!$C$25)</f>
        <v/>
      </c>
      <c r="I3" s="108" t="n"/>
      <c r="J3" s="108">
        <f>IF('Event Info'!$C$26="","",'Event Info'!$C$26)</f>
        <v/>
      </c>
      <c r="K3" s="108" t="n"/>
    </row>
    <row r="4" ht="16" customHeight="1">
      <c r="B4" s="110">
        <f>IF('Event Info'!$C$7="","",'Event Info'!$C$7)</f>
        <v/>
      </c>
      <c r="C4" s="110" t="n"/>
      <c r="D4" s="110" t="n"/>
      <c r="E4" s="110" t="n"/>
      <c r="F4" s="110" t="n"/>
      <c r="G4" s="107" t="inlineStr">
        <is>
          <t>ACCESS / DOORS</t>
        </is>
      </c>
      <c r="H4" s="111">
        <f>IF('Event Info'!$C$15="","",'Event Info'!$C$15)</f>
        <v/>
      </c>
      <c r="I4" s="111" t="n"/>
      <c r="J4" s="112">
        <f>IF('Event Info'!$C$16="","",'Event Info'!$C$16)</f>
        <v/>
      </c>
      <c r="K4" s="112" t="n"/>
    </row>
    <row r="5" ht="16" customHeight="1">
      <c r="B5" s="113">
        <f>IF('Event Info'!$C$11="","",'Event Info'!$C$11)&amp;IF('Event Info'!$C$12="","","   ·   "&amp;'Event Info'!$C$12)</f>
        <v/>
      </c>
      <c r="C5" s="113" t="n"/>
      <c r="D5" s="113" t="n"/>
      <c r="E5" s="113" t="n"/>
      <c r="F5" s="113" t="n"/>
      <c r="G5" s="107" t="inlineStr">
        <is>
          <t>LOAD-OUT BY</t>
        </is>
      </c>
      <c r="H5" s="111">
        <f>IF('Event Info'!$C$18="","",'Event Info'!$C$18)</f>
        <v/>
      </c>
      <c r="I5" s="111" t="n"/>
      <c r="J5" s="111">
        <f>""</f>
        <v/>
      </c>
      <c r="K5" s="111" t="n"/>
    </row>
    <row r="6" ht="8" customHeight="1"/>
    <row r="7" ht="14" customHeight="1">
      <c r="C7" s="76" t="inlineStr">
        <is>
          <t>ARRIVAL WINDOW</t>
        </is>
      </c>
      <c r="D7" s="76" t="n"/>
    </row>
    <row r="8" ht="28" customHeight="1">
      <c r="B8" s="114" t="inlineStr">
        <is>
          <t>#</t>
        </is>
      </c>
      <c r="C8" s="114" t="inlineStr">
        <is>
          <t>From</t>
        </is>
      </c>
      <c r="D8" s="114" t="inlineStr">
        <is>
          <t>To</t>
        </is>
      </c>
      <c r="E8" s="115" t="inlineStr">
        <is>
          <t>Vendor</t>
        </is>
      </c>
      <c r="F8" s="115" t="inlineStr">
        <is>
          <t>Category</t>
        </is>
      </c>
      <c r="G8" s="115" t="inlineStr">
        <is>
          <t>Contact</t>
        </is>
      </c>
      <c r="H8" s="115" t="inlineStr">
        <is>
          <t>Phone</t>
        </is>
      </c>
      <c r="I8" s="115" t="inlineStr">
        <is>
          <t>Entrance / dock</t>
        </is>
      </c>
      <c r="J8" s="114" t="inlineStr">
        <is>
          <t>Arrived</t>
        </is>
      </c>
      <c r="K8" s="115" t="inlineStr">
        <is>
          <t>Notes</t>
        </is>
      </c>
      <c r="M8" s="83" t="inlineStr">
        <is>
          <t>Row</t>
        </is>
      </c>
    </row>
    <row r="9" ht="18" customHeight="1">
      <c r="B9" s="116">
        <f>IF($M9="","",1)</f>
        <v/>
      </c>
      <c r="C9" s="117">
        <f>IF($M9="","",IF(INDEX(Schedule!$G$13:$G$50,$M9)="","",INDEX(Schedule!$G$13:$G$50,$M9)))</f>
        <v/>
      </c>
      <c r="D9" s="117">
        <f>IF($M9="","",IF(INDEX(Schedule!$H$13:$H$50,$M9)="","",INDEX(Schedule!$H$13:$H$50,$M9)))</f>
        <v/>
      </c>
      <c r="E9" s="118">
        <f>IF($M9="","",INDEX(Schedule!$C$13:$C$50,$M9)&amp;"")</f>
        <v/>
      </c>
      <c r="F9" s="119">
        <f>IF($M9="","",INDEX(Schedule!$D$13:$D$50,$M9)&amp;"")</f>
        <v/>
      </c>
      <c r="G9" s="120">
        <f>IF($M9="","",INDEX(Schedule!$E$13:$E$50,$M9)&amp;"")</f>
        <v/>
      </c>
      <c r="H9" s="121">
        <f>IF($M9="","",INDEX(Schedule!$F$13:$F$50,$M9)&amp;"")</f>
        <v/>
      </c>
      <c r="I9" s="120">
        <f>IF($M9="","",INDEX(Schedule!$I$13:$I$50,$M9)&amp;"")</f>
        <v/>
      </c>
      <c r="J9" s="122" t="n"/>
      <c r="K9" s="120" t="n"/>
      <c r="M9">
        <f>IFERROR(MATCH(SMALL(Schedule!$S$13:$S$50,1),Schedule!$S$13:$S$50,0),"")</f>
        <v/>
      </c>
    </row>
    <row r="10" ht="18" customHeight="1">
      <c r="B10" s="123">
        <f>IF($M10="","",2)</f>
        <v/>
      </c>
      <c r="C10" s="124">
        <f>IF($M10="","",IF(INDEX(Schedule!$G$13:$G$50,$M10)="","",INDEX(Schedule!$G$13:$G$50,$M10)))</f>
        <v/>
      </c>
      <c r="D10" s="124">
        <f>IF($M10="","",IF(INDEX(Schedule!$H$13:$H$50,$M10)="","",INDEX(Schedule!$H$13:$H$50,$M10)))</f>
        <v/>
      </c>
      <c r="E10" s="125">
        <f>IF($M10="","",INDEX(Schedule!$C$13:$C$50,$M10)&amp;"")</f>
        <v/>
      </c>
      <c r="F10" s="126">
        <f>IF($M10="","",INDEX(Schedule!$D$13:$D$50,$M10)&amp;"")</f>
        <v/>
      </c>
      <c r="G10" s="127">
        <f>IF($M10="","",INDEX(Schedule!$E$13:$E$50,$M10)&amp;"")</f>
        <v/>
      </c>
      <c r="H10" s="128">
        <f>IF($M10="","",INDEX(Schedule!$F$13:$F$50,$M10)&amp;"")</f>
        <v/>
      </c>
      <c r="I10" s="127">
        <f>IF($M10="","",INDEX(Schedule!$I$13:$I$50,$M10)&amp;"")</f>
        <v/>
      </c>
      <c r="J10" s="122" t="n"/>
      <c r="K10" s="127" t="n"/>
      <c r="M10">
        <f>IFERROR(MATCH(SMALL(Schedule!$S$13:$S$50,2),Schedule!$S$13:$S$50,0),"")</f>
        <v/>
      </c>
    </row>
    <row r="11" ht="18" customHeight="1">
      <c r="B11" s="116">
        <f>IF($M11="","",3)</f>
        <v/>
      </c>
      <c r="C11" s="117">
        <f>IF($M11="","",IF(INDEX(Schedule!$G$13:$G$50,$M11)="","",INDEX(Schedule!$G$13:$G$50,$M11)))</f>
        <v/>
      </c>
      <c r="D11" s="117">
        <f>IF($M11="","",IF(INDEX(Schedule!$H$13:$H$50,$M11)="","",INDEX(Schedule!$H$13:$H$50,$M11)))</f>
        <v/>
      </c>
      <c r="E11" s="118">
        <f>IF($M11="","",INDEX(Schedule!$C$13:$C$50,$M11)&amp;"")</f>
        <v/>
      </c>
      <c r="F11" s="119">
        <f>IF($M11="","",INDEX(Schedule!$D$13:$D$50,$M11)&amp;"")</f>
        <v/>
      </c>
      <c r="G11" s="120">
        <f>IF($M11="","",INDEX(Schedule!$E$13:$E$50,$M11)&amp;"")</f>
        <v/>
      </c>
      <c r="H11" s="121">
        <f>IF($M11="","",INDEX(Schedule!$F$13:$F$50,$M11)&amp;"")</f>
        <v/>
      </c>
      <c r="I11" s="120">
        <f>IF($M11="","",INDEX(Schedule!$I$13:$I$50,$M11)&amp;"")</f>
        <v/>
      </c>
      <c r="J11" s="122" t="n"/>
      <c r="K11" s="120" t="n"/>
      <c r="M11">
        <f>IFERROR(MATCH(SMALL(Schedule!$S$13:$S$50,3),Schedule!$S$13:$S$50,0),"")</f>
        <v/>
      </c>
    </row>
    <row r="12" ht="18" customHeight="1">
      <c r="B12" s="123">
        <f>IF($M12="","",4)</f>
        <v/>
      </c>
      <c r="C12" s="124">
        <f>IF($M12="","",IF(INDEX(Schedule!$G$13:$G$50,$M12)="","",INDEX(Schedule!$G$13:$G$50,$M12)))</f>
        <v/>
      </c>
      <c r="D12" s="124">
        <f>IF($M12="","",IF(INDEX(Schedule!$H$13:$H$50,$M12)="","",INDEX(Schedule!$H$13:$H$50,$M12)))</f>
        <v/>
      </c>
      <c r="E12" s="125">
        <f>IF($M12="","",INDEX(Schedule!$C$13:$C$50,$M12)&amp;"")</f>
        <v/>
      </c>
      <c r="F12" s="126">
        <f>IF($M12="","",INDEX(Schedule!$D$13:$D$50,$M12)&amp;"")</f>
        <v/>
      </c>
      <c r="G12" s="127">
        <f>IF($M12="","",INDEX(Schedule!$E$13:$E$50,$M12)&amp;"")</f>
        <v/>
      </c>
      <c r="H12" s="128">
        <f>IF($M12="","",INDEX(Schedule!$F$13:$F$50,$M12)&amp;"")</f>
        <v/>
      </c>
      <c r="I12" s="127">
        <f>IF($M12="","",INDEX(Schedule!$I$13:$I$50,$M12)&amp;"")</f>
        <v/>
      </c>
      <c r="J12" s="122" t="n"/>
      <c r="K12" s="127" t="n"/>
      <c r="M12">
        <f>IFERROR(MATCH(SMALL(Schedule!$S$13:$S$50,4),Schedule!$S$13:$S$50,0),"")</f>
        <v/>
      </c>
    </row>
    <row r="13" ht="18" customHeight="1">
      <c r="B13" s="116">
        <f>IF($M13="","",5)</f>
        <v/>
      </c>
      <c r="C13" s="117">
        <f>IF($M13="","",IF(INDEX(Schedule!$G$13:$G$50,$M13)="","",INDEX(Schedule!$G$13:$G$50,$M13)))</f>
        <v/>
      </c>
      <c r="D13" s="117">
        <f>IF($M13="","",IF(INDEX(Schedule!$H$13:$H$50,$M13)="","",INDEX(Schedule!$H$13:$H$50,$M13)))</f>
        <v/>
      </c>
      <c r="E13" s="118">
        <f>IF($M13="","",INDEX(Schedule!$C$13:$C$50,$M13)&amp;"")</f>
        <v/>
      </c>
      <c r="F13" s="119">
        <f>IF($M13="","",INDEX(Schedule!$D$13:$D$50,$M13)&amp;"")</f>
        <v/>
      </c>
      <c r="G13" s="120">
        <f>IF($M13="","",INDEX(Schedule!$E$13:$E$50,$M13)&amp;"")</f>
        <v/>
      </c>
      <c r="H13" s="121">
        <f>IF($M13="","",INDEX(Schedule!$F$13:$F$50,$M13)&amp;"")</f>
        <v/>
      </c>
      <c r="I13" s="120">
        <f>IF($M13="","",INDEX(Schedule!$I$13:$I$50,$M13)&amp;"")</f>
        <v/>
      </c>
      <c r="J13" s="122" t="n"/>
      <c r="K13" s="120" t="n"/>
      <c r="M13">
        <f>IFERROR(MATCH(SMALL(Schedule!$S$13:$S$50,5),Schedule!$S$13:$S$50,0),"")</f>
        <v/>
      </c>
    </row>
    <row r="14" ht="18" customHeight="1">
      <c r="B14" s="123">
        <f>IF($M14="","",6)</f>
        <v/>
      </c>
      <c r="C14" s="124">
        <f>IF($M14="","",IF(INDEX(Schedule!$G$13:$G$50,$M14)="","",INDEX(Schedule!$G$13:$G$50,$M14)))</f>
        <v/>
      </c>
      <c r="D14" s="124">
        <f>IF($M14="","",IF(INDEX(Schedule!$H$13:$H$50,$M14)="","",INDEX(Schedule!$H$13:$H$50,$M14)))</f>
        <v/>
      </c>
      <c r="E14" s="125">
        <f>IF($M14="","",INDEX(Schedule!$C$13:$C$50,$M14)&amp;"")</f>
        <v/>
      </c>
      <c r="F14" s="126">
        <f>IF($M14="","",INDEX(Schedule!$D$13:$D$50,$M14)&amp;"")</f>
        <v/>
      </c>
      <c r="G14" s="127">
        <f>IF($M14="","",INDEX(Schedule!$E$13:$E$50,$M14)&amp;"")</f>
        <v/>
      </c>
      <c r="H14" s="128">
        <f>IF($M14="","",INDEX(Schedule!$F$13:$F$50,$M14)&amp;"")</f>
        <v/>
      </c>
      <c r="I14" s="127">
        <f>IF($M14="","",INDEX(Schedule!$I$13:$I$50,$M14)&amp;"")</f>
        <v/>
      </c>
      <c r="J14" s="122" t="n"/>
      <c r="K14" s="127" t="n"/>
      <c r="M14">
        <f>IFERROR(MATCH(SMALL(Schedule!$S$13:$S$50,6),Schedule!$S$13:$S$50,0),"")</f>
        <v/>
      </c>
    </row>
    <row r="15" ht="18" customHeight="1">
      <c r="B15" s="116">
        <f>IF($M15="","",7)</f>
        <v/>
      </c>
      <c r="C15" s="117">
        <f>IF($M15="","",IF(INDEX(Schedule!$G$13:$G$50,$M15)="","",INDEX(Schedule!$G$13:$G$50,$M15)))</f>
        <v/>
      </c>
      <c r="D15" s="117">
        <f>IF($M15="","",IF(INDEX(Schedule!$H$13:$H$50,$M15)="","",INDEX(Schedule!$H$13:$H$50,$M15)))</f>
        <v/>
      </c>
      <c r="E15" s="118">
        <f>IF($M15="","",INDEX(Schedule!$C$13:$C$50,$M15)&amp;"")</f>
        <v/>
      </c>
      <c r="F15" s="119">
        <f>IF($M15="","",INDEX(Schedule!$D$13:$D$50,$M15)&amp;"")</f>
        <v/>
      </c>
      <c r="G15" s="120">
        <f>IF($M15="","",INDEX(Schedule!$E$13:$E$50,$M15)&amp;"")</f>
        <v/>
      </c>
      <c r="H15" s="121">
        <f>IF($M15="","",INDEX(Schedule!$F$13:$F$50,$M15)&amp;"")</f>
        <v/>
      </c>
      <c r="I15" s="120">
        <f>IF($M15="","",INDEX(Schedule!$I$13:$I$50,$M15)&amp;"")</f>
        <v/>
      </c>
      <c r="J15" s="122" t="n"/>
      <c r="K15" s="120" t="n"/>
      <c r="M15">
        <f>IFERROR(MATCH(SMALL(Schedule!$S$13:$S$50,7),Schedule!$S$13:$S$50,0),"")</f>
        <v/>
      </c>
    </row>
    <row r="16" ht="18" customHeight="1">
      <c r="B16" s="123">
        <f>IF($M16="","",8)</f>
        <v/>
      </c>
      <c r="C16" s="124">
        <f>IF($M16="","",IF(INDEX(Schedule!$G$13:$G$50,$M16)="","",INDEX(Schedule!$G$13:$G$50,$M16)))</f>
        <v/>
      </c>
      <c r="D16" s="124">
        <f>IF($M16="","",IF(INDEX(Schedule!$H$13:$H$50,$M16)="","",INDEX(Schedule!$H$13:$H$50,$M16)))</f>
        <v/>
      </c>
      <c r="E16" s="125">
        <f>IF($M16="","",INDEX(Schedule!$C$13:$C$50,$M16)&amp;"")</f>
        <v/>
      </c>
      <c r="F16" s="126">
        <f>IF($M16="","",INDEX(Schedule!$D$13:$D$50,$M16)&amp;"")</f>
        <v/>
      </c>
      <c r="G16" s="127">
        <f>IF($M16="","",INDEX(Schedule!$E$13:$E$50,$M16)&amp;"")</f>
        <v/>
      </c>
      <c r="H16" s="128">
        <f>IF($M16="","",INDEX(Schedule!$F$13:$F$50,$M16)&amp;"")</f>
        <v/>
      </c>
      <c r="I16" s="127">
        <f>IF($M16="","",INDEX(Schedule!$I$13:$I$50,$M16)&amp;"")</f>
        <v/>
      </c>
      <c r="J16" s="122" t="n"/>
      <c r="K16" s="127" t="n"/>
      <c r="M16">
        <f>IFERROR(MATCH(SMALL(Schedule!$S$13:$S$50,8),Schedule!$S$13:$S$50,0),"")</f>
        <v/>
      </c>
    </row>
    <row r="17" ht="18" customHeight="1">
      <c r="B17" s="116">
        <f>IF($M17="","",9)</f>
        <v/>
      </c>
      <c r="C17" s="117">
        <f>IF($M17="","",IF(INDEX(Schedule!$G$13:$G$50,$M17)="","",INDEX(Schedule!$G$13:$G$50,$M17)))</f>
        <v/>
      </c>
      <c r="D17" s="117">
        <f>IF($M17="","",IF(INDEX(Schedule!$H$13:$H$50,$M17)="","",INDEX(Schedule!$H$13:$H$50,$M17)))</f>
        <v/>
      </c>
      <c r="E17" s="118">
        <f>IF($M17="","",INDEX(Schedule!$C$13:$C$50,$M17)&amp;"")</f>
        <v/>
      </c>
      <c r="F17" s="119">
        <f>IF($M17="","",INDEX(Schedule!$D$13:$D$50,$M17)&amp;"")</f>
        <v/>
      </c>
      <c r="G17" s="120">
        <f>IF($M17="","",INDEX(Schedule!$E$13:$E$50,$M17)&amp;"")</f>
        <v/>
      </c>
      <c r="H17" s="121">
        <f>IF($M17="","",INDEX(Schedule!$F$13:$F$50,$M17)&amp;"")</f>
        <v/>
      </c>
      <c r="I17" s="120">
        <f>IF($M17="","",INDEX(Schedule!$I$13:$I$50,$M17)&amp;"")</f>
        <v/>
      </c>
      <c r="J17" s="122" t="n"/>
      <c r="K17" s="120" t="n"/>
      <c r="M17">
        <f>IFERROR(MATCH(SMALL(Schedule!$S$13:$S$50,9),Schedule!$S$13:$S$50,0),"")</f>
        <v/>
      </c>
    </row>
    <row r="18" ht="18" customHeight="1">
      <c r="B18" s="123">
        <f>IF($M18="","",10)</f>
        <v/>
      </c>
      <c r="C18" s="124">
        <f>IF($M18="","",IF(INDEX(Schedule!$G$13:$G$50,$M18)="","",INDEX(Schedule!$G$13:$G$50,$M18)))</f>
        <v/>
      </c>
      <c r="D18" s="124">
        <f>IF($M18="","",IF(INDEX(Schedule!$H$13:$H$50,$M18)="","",INDEX(Schedule!$H$13:$H$50,$M18)))</f>
        <v/>
      </c>
      <c r="E18" s="125">
        <f>IF($M18="","",INDEX(Schedule!$C$13:$C$50,$M18)&amp;"")</f>
        <v/>
      </c>
      <c r="F18" s="126">
        <f>IF($M18="","",INDEX(Schedule!$D$13:$D$50,$M18)&amp;"")</f>
        <v/>
      </c>
      <c r="G18" s="127">
        <f>IF($M18="","",INDEX(Schedule!$E$13:$E$50,$M18)&amp;"")</f>
        <v/>
      </c>
      <c r="H18" s="128">
        <f>IF($M18="","",INDEX(Schedule!$F$13:$F$50,$M18)&amp;"")</f>
        <v/>
      </c>
      <c r="I18" s="127">
        <f>IF($M18="","",INDEX(Schedule!$I$13:$I$50,$M18)&amp;"")</f>
        <v/>
      </c>
      <c r="J18" s="122" t="n"/>
      <c r="K18" s="127" t="n"/>
      <c r="M18">
        <f>IFERROR(MATCH(SMALL(Schedule!$S$13:$S$50,10),Schedule!$S$13:$S$50,0),"")</f>
        <v/>
      </c>
    </row>
    <row r="19" ht="18" customHeight="1">
      <c r="B19" s="116">
        <f>IF($M19="","",11)</f>
        <v/>
      </c>
      <c r="C19" s="117">
        <f>IF($M19="","",IF(INDEX(Schedule!$G$13:$G$50,$M19)="","",INDEX(Schedule!$G$13:$G$50,$M19)))</f>
        <v/>
      </c>
      <c r="D19" s="117">
        <f>IF($M19="","",IF(INDEX(Schedule!$H$13:$H$50,$M19)="","",INDEX(Schedule!$H$13:$H$50,$M19)))</f>
        <v/>
      </c>
      <c r="E19" s="118">
        <f>IF($M19="","",INDEX(Schedule!$C$13:$C$50,$M19)&amp;"")</f>
        <v/>
      </c>
      <c r="F19" s="119">
        <f>IF($M19="","",INDEX(Schedule!$D$13:$D$50,$M19)&amp;"")</f>
        <v/>
      </c>
      <c r="G19" s="120">
        <f>IF($M19="","",INDEX(Schedule!$E$13:$E$50,$M19)&amp;"")</f>
        <v/>
      </c>
      <c r="H19" s="121">
        <f>IF($M19="","",INDEX(Schedule!$F$13:$F$50,$M19)&amp;"")</f>
        <v/>
      </c>
      <c r="I19" s="120">
        <f>IF($M19="","",INDEX(Schedule!$I$13:$I$50,$M19)&amp;"")</f>
        <v/>
      </c>
      <c r="J19" s="122" t="n"/>
      <c r="K19" s="120" t="n"/>
      <c r="M19">
        <f>IFERROR(MATCH(SMALL(Schedule!$S$13:$S$50,11),Schedule!$S$13:$S$50,0),"")</f>
        <v/>
      </c>
    </row>
    <row r="20" ht="18" customHeight="1">
      <c r="B20" s="123">
        <f>IF($M20="","",12)</f>
        <v/>
      </c>
      <c r="C20" s="124">
        <f>IF($M20="","",IF(INDEX(Schedule!$G$13:$G$50,$M20)="","",INDEX(Schedule!$G$13:$G$50,$M20)))</f>
        <v/>
      </c>
      <c r="D20" s="124">
        <f>IF($M20="","",IF(INDEX(Schedule!$H$13:$H$50,$M20)="","",INDEX(Schedule!$H$13:$H$50,$M20)))</f>
        <v/>
      </c>
      <c r="E20" s="125">
        <f>IF($M20="","",INDEX(Schedule!$C$13:$C$50,$M20)&amp;"")</f>
        <v/>
      </c>
      <c r="F20" s="126">
        <f>IF($M20="","",INDEX(Schedule!$D$13:$D$50,$M20)&amp;"")</f>
        <v/>
      </c>
      <c r="G20" s="127">
        <f>IF($M20="","",INDEX(Schedule!$E$13:$E$50,$M20)&amp;"")</f>
        <v/>
      </c>
      <c r="H20" s="128">
        <f>IF($M20="","",INDEX(Schedule!$F$13:$F$50,$M20)&amp;"")</f>
        <v/>
      </c>
      <c r="I20" s="127">
        <f>IF($M20="","",INDEX(Schedule!$I$13:$I$50,$M20)&amp;"")</f>
        <v/>
      </c>
      <c r="J20" s="122" t="n"/>
      <c r="K20" s="127" t="n"/>
      <c r="M20">
        <f>IFERROR(MATCH(SMALL(Schedule!$S$13:$S$50,12),Schedule!$S$13:$S$50,0),"")</f>
        <v/>
      </c>
    </row>
    <row r="21" ht="18" customHeight="1">
      <c r="B21" s="116">
        <f>IF($M21="","",13)</f>
        <v/>
      </c>
      <c r="C21" s="117">
        <f>IF($M21="","",IF(INDEX(Schedule!$G$13:$G$50,$M21)="","",INDEX(Schedule!$G$13:$G$50,$M21)))</f>
        <v/>
      </c>
      <c r="D21" s="117">
        <f>IF($M21="","",IF(INDEX(Schedule!$H$13:$H$50,$M21)="","",INDEX(Schedule!$H$13:$H$50,$M21)))</f>
        <v/>
      </c>
      <c r="E21" s="118">
        <f>IF($M21="","",INDEX(Schedule!$C$13:$C$50,$M21)&amp;"")</f>
        <v/>
      </c>
      <c r="F21" s="119">
        <f>IF($M21="","",INDEX(Schedule!$D$13:$D$50,$M21)&amp;"")</f>
        <v/>
      </c>
      <c r="G21" s="120">
        <f>IF($M21="","",INDEX(Schedule!$E$13:$E$50,$M21)&amp;"")</f>
        <v/>
      </c>
      <c r="H21" s="121">
        <f>IF($M21="","",INDEX(Schedule!$F$13:$F$50,$M21)&amp;"")</f>
        <v/>
      </c>
      <c r="I21" s="120">
        <f>IF($M21="","",INDEX(Schedule!$I$13:$I$50,$M21)&amp;"")</f>
        <v/>
      </c>
      <c r="J21" s="122" t="n"/>
      <c r="K21" s="120" t="n"/>
      <c r="M21">
        <f>IFERROR(MATCH(SMALL(Schedule!$S$13:$S$50,13),Schedule!$S$13:$S$50,0),"")</f>
        <v/>
      </c>
    </row>
    <row r="22" ht="18" customHeight="1">
      <c r="B22" s="123">
        <f>IF($M22="","",14)</f>
        <v/>
      </c>
      <c r="C22" s="124">
        <f>IF($M22="","",IF(INDEX(Schedule!$G$13:$G$50,$M22)="","",INDEX(Schedule!$G$13:$G$50,$M22)))</f>
        <v/>
      </c>
      <c r="D22" s="124">
        <f>IF($M22="","",IF(INDEX(Schedule!$H$13:$H$50,$M22)="","",INDEX(Schedule!$H$13:$H$50,$M22)))</f>
        <v/>
      </c>
      <c r="E22" s="125">
        <f>IF($M22="","",INDEX(Schedule!$C$13:$C$50,$M22)&amp;"")</f>
        <v/>
      </c>
      <c r="F22" s="126">
        <f>IF($M22="","",INDEX(Schedule!$D$13:$D$50,$M22)&amp;"")</f>
        <v/>
      </c>
      <c r="G22" s="127">
        <f>IF($M22="","",INDEX(Schedule!$E$13:$E$50,$M22)&amp;"")</f>
        <v/>
      </c>
      <c r="H22" s="128">
        <f>IF($M22="","",INDEX(Schedule!$F$13:$F$50,$M22)&amp;"")</f>
        <v/>
      </c>
      <c r="I22" s="127">
        <f>IF($M22="","",INDEX(Schedule!$I$13:$I$50,$M22)&amp;"")</f>
        <v/>
      </c>
      <c r="J22" s="122" t="n"/>
      <c r="K22" s="127" t="n"/>
      <c r="M22">
        <f>IFERROR(MATCH(SMALL(Schedule!$S$13:$S$50,14),Schedule!$S$13:$S$50,0),"")</f>
        <v/>
      </c>
    </row>
    <row r="23" ht="18" customHeight="1">
      <c r="B23" s="116">
        <f>IF($M23="","",15)</f>
        <v/>
      </c>
      <c r="C23" s="117">
        <f>IF($M23="","",IF(INDEX(Schedule!$G$13:$G$50,$M23)="","",INDEX(Schedule!$G$13:$G$50,$M23)))</f>
        <v/>
      </c>
      <c r="D23" s="117">
        <f>IF($M23="","",IF(INDEX(Schedule!$H$13:$H$50,$M23)="","",INDEX(Schedule!$H$13:$H$50,$M23)))</f>
        <v/>
      </c>
      <c r="E23" s="118">
        <f>IF($M23="","",INDEX(Schedule!$C$13:$C$50,$M23)&amp;"")</f>
        <v/>
      </c>
      <c r="F23" s="119">
        <f>IF($M23="","",INDEX(Schedule!$D$13:$D$50,$M23)&amp;"")</f>
        <v/>
      </c>
      <c r="G23" s="120">
        <f>IF($M23="","",INDEX(Schedule!$E$13:$E$50,$M23)&amp;"")</f>
        <v/>
      </c>
      <c r="H23" s="121">
        <f>IF($M23="","",INDEX(Schedule!$F$13:$F$50,$M23)&amp;"")</f>
        <v/>
      </c>
      <c r="I23" s="120">
        <f>IF($M23="","",INDEX(Schedule!$I$13:$I$50,$M23)&amp;"")</f>
        <v/>
      </c>
      <c r="J23" s="122" t="n"/>
      <c r="K23" s="120" t="n"/>
      <c r="M23">
        <f>IFERROR(MATCH(SMALL(Schedule!$S$13:$S$50,15),Schedule!$S$13:$S$50,0),"")</f>
        <v/>
      </c>
    </row>
    <row r="24" ht="18" customHeight="1">
      <c r="B24" s="123">
        <f>IF($M24="","",16)</f>
        <v/>
      </c>
      <c r="C24" s="124">
        <f>IF($M24="","",IF(INDEX(Schedule!$G$13:$G$50,$M24)="","",INDEX(Schedule!$G$13:$G$50,$M24)))</f>
        <v/>
      </c>
      <c r="D24" s="124">
        <f>IF($M24="","",IF(INDEX(Schedule!$H$13:$H$50,$M24)="","",INDEX(Schedule!$H$13:$H$50,$M24)))</f>
        <v/>
      </c>
      <c r="E24" s="125">
        <f>IF($M24="","",INDEX(Schedule!$C$13:$C$50,$M24)&amp;"")</f>
        <v/>
      </c>
      <c r="F24" s="126">
        <f>IF($M24="","",INDEX(Schedule!$D$13:$D$50,$M24)&amp;"")</f>
        <v/>
      </c>
      <c r="G24" s="127">
        <f>IF($M24="","",INDEX(Schedule!$E$13:$E$50,$M24)&amp;"")</f>
        <v/>
      </c>
      <c r="H24" s="128">
        <f>IF($M24="","",INDEX(Schedule!$F$13:$F$50,$M24)&amp;"")</f>
        <v/>
      </c>
      <c r="I24" s="127">
        <f>IF($M24="","",INDEX(Schedule!$I$13:$I$50,$M24)&amp;"")</f>
        <v/>
      </c>
      <c r="J24" s="122" t="n"/>
      <c r="K24" s="127" t="n"/>
      <c r="M24">
        <f>IFERROR(MATCH(SMALL(Schedule!$S$13:$S$50,16),Schedule!$S$13:$S$50,0),"")</f>
        <v/>
      </c>
    </row>
    <row r="25" ht="18" customHeight="1">
      <c r="B25" s="116">
        <f>IF($M25="","",17)</f>
        <v/>
      </c>
      <c r="C25" s="117">
        <f>IF($M25="","",IF(INDEX(Schedule!$G$13:$G$50,$M25)="","",INDEX(Schedule!$G$13:$G$50,$M25)))</f>
        <v/>
      </c>
      <c r="D25" s="117">
        <f>IF($M25="","",IF(INDEX(Schedule!$H$13:$H$50,$M25)="","",INDEX(Schedule!$H$13:$H$50,$M25)))</f>
        <v/>
      </c>
      <c r="E25" s="118">
        <f>IF($M25="","",INDEX(Schedule!$C$13:$C$50,$M25)&amp;"")</f>
        <v/>
      </c>
      <c r="F25" s="119">
        <f>IF($M25="","",INDEX(Schedule!$D$13:$D$50,$M25)&amp;"")</f>
        <v/>
      </c>
      <c r="G25" s="120">
        <f>IF($M25="","",INDEX(Schedule!$E$13:$E$50,$M25)&amp;"")</f>
        <v/>
      </c>
      <c r="H25" s="121">
        <f>IF($M25="","",INDEX(Schedule!$F$13:$F$50,$M25)&amp;"")</f>
        <v/>
      </c>
      <c r="I25" s="120">
        <f>IF($M25="","",INDEX(Schedule!$I$13:$I$50,$M25)&amp;"")</f>
        <v/>
      </c>
      <c r="J25" s="122" t="n"/>
      <c r="K25" s="120" t="n"/>
      <c r="M25">
        <f>IFERROR(MATCH(SMALL(Schedule!$S$13:$S$50,17),Schedule!$S$13:$S$50,0),"")</f>
        <v/>
      </c>
    </row>
    <row r="26" ht="18" customHeight="1">
      <c r="B26" s="123">
        <f>IF($M26="","",18)</f>
        <v/>
      </c>
      <c r="C26" s="124">
        <f>IF($M26="","",IF(INDEX(Schedule!$G$13:$G$50,$M26)="","",INDEX(Schedule!$G$13:$G$50,$M26)))</f>
        <v/>
      </c>
      <c r="D26" s="124">
        <f>IF($M26="","",IF(INDEX(Schedule!$H$13:$H$50,$M26)="","",INDEX(Schedule!$H$13:$H$50,$M26)))</f>
        <v/>
      </c>
      <c r="E26" s="125">
        <f>IF($M26="","",INDEX(Schedule!$C$13:$C$50,$M26)&amp;"")</f>
        <v/>
      </c>
      <c r="F26" s="126">
        <f>IF($M26="","",INDEX(Schedule!$D$13:$D$50,$M26)&amp;"")</f>
        <v/>
      </c>
      <c r="G26" s="127">
        <f>IF($M26="","",INDEX(Schedule!$E$13:$E$50,$M26)&amp;"")</f>
        <v/>
      </c>
      <c r="H26" s="128">
        <f>IF($M26="","",INDEX(Schedule!$F$13:$F$50,$M26)&amp;"")</f>
        <v/>
      </c>
      <c r="I26" s="127">
        <f>IF($M26="","",INDEX(Schedule!$I$13:$I$50,$M26)&amp;"")</f>
        <v/>
      </c>
      <c r="J26" s="122" t="n"/>
      <c r="K26" s="127" t="n"/>
      <c r="M26">
        <f>IFERROR(MATCH(SMALL(Schedule!$S$13:$S$50,18),Schedule!$S$13:$S$50,0),"")</f>
        <v/>
      </c>
    </row>
    <row r="27" ht="18" customHeight="1">
      <c r="B27" s="116">
        <f>IF($M27="","",19)</f>
        <v/>
      </c>
      <c r="C27" s="117">
        <f>IF($M27="","",IF(INDEX(Schedule!$G$13:$G$50,$M27)="","",INDEX(Schedule!$G$13:$G$50,$M27)))</f>
        <v/>
      </c>
      <c r="D27" s="117">
        <f>IF($M27="","",IF(INDEX(Schedule!$H$13:$H$50,$M27)="","",INDEX(Schedule!$H$13:$H$50,$M27)))</f>
        <v/>
      </c>
      <c r="E27" s="118">
        <f>IF($M27="","",INDEX(Schedule!$C$13:$C$50,$M27)&amp;"")</f>
        <v/>
      </c>
      <c r="F27" s="119">
        <f>IF($M27="","",INDEX(Schedule!$D$13:$D$50,$M27)&amp;"")</f>
        <v/>
      </c>
      <c r="G27" s="120">
        <f>IF($M27="","",INDEX(Schedule!$E$13:$E$50,$M27)&amp;"")</f>
        <v/>
      </c>
      <c r="H27" s="121">
        <f>IF($M27="","",INDEX(Schedule!$F$13:$F$50,$M27)&amp;"")</f>
        <v/>
      </c>
      <c r="I27" s="120">
        <f>IF($M27="","",INDEX(Schedule!$I$13:$I$50,$M27)&amp;"")</f>
        <v/>
      </c>
      <c r="J27" s="122" t="n"/>
      <c r="K27" s="120" t="n"/>
      <c r="M27">
        <f>IFERROR(MATCH(SMALL(Schedule!$S$13:$S$50,19),Schedule!$S$13:$S$50,0),"")</f>
        <v/>
      </c>
    </row>
    <row r="28" ht="18" customHeight="1">
      <c r="B28" s="123">
        <f>IF($M28="","",20)</f>
        <v/>
      </c>
      <c r="C28" s="124">
        <f>IF($M28="","",IF(INDEX(Schedule!$G$13:$G$50,$M28)="","",INDEX(Schedule!$G$13:$G$50,$M28)))</f>
        <v/>
      </c>
      <c r="D28" s="124">
        <f>IF($M28="","",IF(INDEX(Schedule!$H$13:$H$50,$M28)="","",INDEX(Schedule!$H$13:$H$50,$M28)))</f>
        <v/>
      </c>
      <c r="E28" s="125">
        <f>IF($M28="","",INDEX(Schedule!$C$13:$C$50,$M28)&amp;"")</f>
        <v/>
      </c>
      <c r="F28" s="126">
        <f>IF($M28="","",INDEX(Schedule!$D$13:$D$50,$M28)&amp;"")</f>
        <v/>
      </c>
      <c r="G28" s="127">
        <f>IF($M28="","",INDEX(Schedule!$E$13:$E$50,$M28)&amp;"")</f>
        <v/>
      </c>
      <c r="H28" s="128">
        <f>IF($M28="","",INDEX(Schedule!$F$13:$F$50,$M28)&amp;"")</f>
        <v/>
      </c>
      <c r="I28" s="127">
        <f>IF($M28="","",INDEX(Schedule!$I$13:$I$50,$M28)&amp;"")</f>
        <v/>
      </c>
      <c r="J28" s="122" t="n"/>
      <c r="K28" s="127" t="n"/>
      <c r="M28">
        <f>IFERROR(MATCH(SMALL(Schedule!$S$13:$S$50,20),Schedule!$S$13:$S$50,0),"")</f>
        <v/>
      </c>
    </row>
    <row r="29" ht="18" customHeight="1">
      <c r="B29" s="116">
        <f>IF($M29="","",21)</f>
        <v/>
      </c>
      <c r="C29" s="117">
        <f>IF($M29="","",IF(INDEX(Schedule!$G$13:$G$50,$M29)="","",INDEX(Schedule!$G$13:$G$50,$M29)))</f>
        <v/>
      </c>
      <c r="D29" s="117">
        <f>IF($M29="","",IF(INDEX(Schedule!$H$13:$H$50,$M29)="","",INDEX(Schedule!$H$13:$H$50,$M29)))</f>
        <v/>
      </c>
      <c r="E29" s="118">
        <f>IF($M29="","",INDEX(Schedule!$C$13:$C$50,$M29)&amp;"")</f>
        <v/>
      </c>
      <c r="F29" s="119">
        <f>IF($M29="","",INDEX(Schedule!$D$13:$D$50,$M29)&amp;"")</f>
        <v/>
      </c>
      <c r="G29" s="120">
        <f>IF($M29="","",INDEX(Schedule!$E$13:$E$50,$M29)&amp;"")</f>
        <v/>
      </c>
      <c r="H29" s="121">
        <f>IF($M29="","",INDEX(Schedule!$F$13:$F$50,$M29)&amp;"")</f>
        <v/>
      </c>
      <c r="I29" s="120">
        <f>IF($M29="","",INDEX(Schedule!$I$13:$I$50,$M29)&amp;"")</f>
        <v/>
      </c>
      <c r="J29" s="122" t="n"/>
      <c r="K29" s="120" t="n"/>
      <c r="M29">
        <f>IFERROR(MATCH(SMALL(Schedule!$S$13:$S$50,21),Schedule!$S$13:$S$50,0),"")</f>
        <v/>
      </c>
    </row>
    <row r="30" ht="18" customHeight="1">
      <c r="B30" s="123">
        <f>IF($M30="","",22)</f>
        <v/>
      </c>
      <c r="C30" s="124">
        <f>IF($M30="","",IF(INDEX(Schedule!$G$13:$G$50,$M30)="","",INDEX(Schedule!$G$13:$G$50,$M30)))</f>
        <v/>
      </c>
      <c r="D30" s="124">
        <f>IF($M30="","",IF(INDEX(Schedule!$H$13:$H$50,$M30)="","",INDEX(Schedule!$H$13:$H$50,$M30)))</f>
        <v/>
      </c>
      <c r="E30" s="125">
        <f>IF($M30="","",INDEX(Schedule!$C$13:$C$50,$M30)&amp;"")</f>
        <v/>
      </c>
      <c r="F30" s="126">
        <f>IF($M30="","",INDEX(Schedule!$D$13:$D$50,$M30)&amp;"")</f>
        <v/>
      </c>
      <c r="G30" s="127">
        <f>IF($M30="","",INDEX(Schedule!$E$13:$E$50,$M30)&amp;"")</f>
        <v/>
      </c>
      <c r="H30" s="128">
        <f>IF($M30="","",INDEX(Schedule!$F$13:$F$50,$M30)&amp;"")</f>
        <v/>
      </c>
      <c r="I30" s="127">
        <f>IF($M30="","",INDEX(Schedule!$I$13:$I$50,$M30)&amp;"")</f>
        <v/>
      </c>
      <c r="J30" s="122" t="n"/>
      <c r="K30" s="127" t="n"/>
      <c r="M30">
        <f>IFERROR(MATCH(SMALL(Schedule!$S$13:$S$50,22),Schedule!$S$13:$S$50,0),"")</f>
        <v/>
      </c>
    </row>
    <row r="31" ht="18" customHeight="1">
      <c r="B31" s="116">
        <f>IF($M31="","",23)</f>
        <v/>
      </c>
      <c r="C31" s="117">
        <f>IF($M31="","",IF(INDEX(Schedule!$G$13:$G$50,$M31)="","",INDEX(Schedule!$G$13:$G$50,$M31)))</f>
        <v/>
      </c>
      <c r="D31" s="117">
        <f>IF($M31="","",IF(INDEX(Schedule!$H$13:$H$50,$M31)="","",INDEX(Schedule!$H$13:$H$50,$M31)))</f>
        <v/>
      </c>
      <c r="E31" s="118">
        <f>IF($M31="","",INDEX(Schedule!$C$13:$C$50,$M31)&amp;"")</f>
        <v/>
      </c>
      <c r="F31" s="119">
        <f>IF($M31="","",INDEX(Schedule!$D$13:$D$50,$M31)&amp;"")</f>
        <v/>
      </c>
      <c r="G31" s="120">
        <f>IF($M31="","",INDEX(Schedule!$E$13:$E$50,$M31)&amp;"")</f>
        <v/>
      </c>
      <c r="H31" s="121">
        <f>IF($M31="","",INDEX(Schedule!$F$13:$F$50,$M31)&amp;"")</f>
        <v/>
      </c>
      <c r="I31" s="120">
        <f>IF($M31="","",INDEX(Schedule!$I$13:$I$50,$M31)&amp;"")</f>
        <v/>
      </c>
      <c r="J31" s="122" t="n"/>
      <c r="K31" s="120" t="n"/>
      <c r="M31">
        <f>IFERROR(MATCH(SMALL(Schedule!$S$13:$S$50,23),Schedule!$S$13:$S$50,0),"")</f>
        <v/>
      </c>
    </row>
    <row r="32" ht="18" customHeight="1">
      <c r="B32" s="123">
        <f>IF($M32="","",24)</f>
        <v/>
      </c>
      <c r="C32" s="124">
        <f>IF($M32="","",IF(INDEX(Schedule!$G$13:$G$50,$M32)="","",INDEX(Schedule!$G$13:$G$50,$M32)))</f>
        <v/>
      </c>
      <c r="D32" s="124">
        <f>IF($M32="","",IF(INDEX(Schedule!$H$13:$H$50,$M32)="","",INDEX(Schedule!$H$13:$H$50,$M32)))</f>
        <v/>
      </c>
      <c r="E32" s="125">
        <f>IF($M32="","",INDEX(Schedule!$C$13:$C$50,$M32)&amp;"")</f>
        <v/>
      </c>
      <c r="F32" s="126">
        <f>IF($M32="","",INDEX(Schedule!$D$13:$D$50,$M32)&amp;"")</f>
        <v/>
      </c>
      <c r="G32" s="127">
        <f>IF($M32="","",INDEX(Schedule!$E$13:$E$50,$M32)&amp;"")</f>
        <v/>
      </c>
      <c r="H32" s="128">
        <f>IF($M32="","",INDEX(Schedule!$F$13:$F$50,$M32)&amp;"")</f>
        <v/>
      </c>
      <c r="I32" s="127">
        <f>IF($M32="","",INDEX(Schedule!$I$13:$I$50,$M32)&amp;"")</f>
        <v/>
      </c>
      <c r="J32" s="122" t="n"/>
      <c r="K32" s="127" t="n"/>
      <c r="M32">
        <f>IFERROR(MATCH(SMALL(Schedule!$S$13:$S$50,24),Schedule!$S$13:$S$50,0),"")</f>
        <v/>
      </c>
    </row>
    <row r="33" ht="18" customHeight="1">
      <c r="B33" s="116">
        <f>IF($M33="","",25)</f>
        <v/>
      </c>
      <c r="C33" s="117">
        <f>IF($M33="","",IF(INDEX(Schedule!$G$13:$G$50,$M33)="","",INDEX(Schedule!$G$13:$G$50,$M33)))</f>
        <v/>
      </c>
      <c r="D33" s="117">
        <f>IF($M33="","",IF(INDEX(Schedule!$H$13:$H$50,$M33)="","",INDEX(Schedule!$H$13:$H$50,$M33)))</f>
        <v/>
      </c>
      <c r="E33" s="118">
        <f>IF($M33="","",INDEX(Schedule!$C$13:$C$50,$M33)&amp;"")</f>
        <v/>
      </c>
      <c r="F33" s="119">
        <f>IF($M33="","",INDEX(Schedule!$D$13:$D$50,$M33)&amp;"")</f>
        <v/>
      </c>
      <c r="G33" s="120">
        <f>IF($M33="","",INDEX(Schedule!$E$13:$E$50,$M33)&amp;"")</f>
        <v/>
      </c>
      <c r="H33" s="121">
        <f>IF($M33="","",INDEX(Schedule!$F$13:$F$50,$M33)&amp;"")</f>
        <v/>
      </c>
      <c r="I33" s="120">
        <f>IF($M33="","",INDEX(Schedule!$I$13:$I$50,$M33)&amp;"")</f>
        <v/>
      </c>
      <c r="J33" s="122" t="n"/>
      <c r="K33" s="120" t="n"/>
      <c r="M33">
        <f>IFERROR(MATCH(SMALL(Schedule!$S$13:$S$50,25),Schedule!$S$13:$S$50,0),"")</f>
        <v/>
      </c>
    </row>
    <row r="34" ht="18" customHeight="1">
      <c r="B34" s="123">
        <f>IF($M34="","",26)</f>
        <v/>
      </c>
      <c r="C34" s="124">
        <f>IF($M34="","",IF(INDEX(Schedule!$G$13:$G$50,$M34)="","",INDEX(Schedule!$G$13:$G$50,$M34)))</f>
        <v/>
      </c>
      <c r="D34" s="124">
        <f>IF($M34="","",IF(INDEX(Schedule!$H$13:$H$50,$M34)="","",INDEX(Schedule!$H$13:$H$50,$M34)))</f>
        <v/>
      </c>
      <c r="E34" s="125">
        <f>IF($M34="","",INDEX(Schedule!$C$13:$C$50,$M34)&amp;"")</f>
        <v/>
      </c>
      <c r="F34" s="126">
        <f>IF($M34="","",INDEX(Schedule!$D$13:$D$50,$M34)&amp;"")</f>
        <v/>
      </c>
      <c r="G34" s="127">
        <f>IF($M34="","",INDEX(Schedule!$E$13:$E$50,$M34)&amp;"")</f>
        <v/>
      </c>
      <c r="H34" s="128">
        <f>IF($M34="","",INDEX(Schedule!$F$13:$F$50,$M34)&amp;"")</f>
        <v/>
      </c>
      <c r="I34" s="127">
        <f>IF($M34="","",INDEX(Schedule!$I$13:$I$50,$M34)&amp;"")</f>
        <v/>
      </c>
      <c r="J34" s="122" t="n"/>
      <c r="K34" s="127" t="n"/>
      <c r="M34">
        <f>IFERROR(MATCH(SMALL(Schedule!$S$13:$S$50,26),Schedule!$S$13:$S$50,0),"")</f>
        <v/>
      </c>
    </row>
    <row r="35" ht="18" customHeight="1">
      <c r="B35" s="116">
        <f>IF($M35="","",27)</f>
        <v/>
      </c>
      <c r="C35" s="117">
        <f>IF($M35="","",IF(INDEX(Schedule!$G$13:$G$50,$M35)="","",INDEX(Schedule!$G$13:$G$50,$M35)))</f>
        <v/>
      </c>
      <c r="D35" s="117">
        <f>IF($M35="","",IF(INDEX(Schedule!$H$13:$H$50,$M35)="","",INDEX(Schedule!$H$13:$H$50,$M35)))</f>
        <v/>
      </c>
      <c r="E35" s="118">
        <f>IF($M35="","",INDEX(Schedule!$C$13:$C$50,$M35)&amp;"")</f>
        <v/>
      </c>
      <c r="F35" s="119">
        <f>IF($M35="","",INDEX(Schedule!$D$13:$D$50,$M35)&amp;"")</f>
        <v/>
      </c>
      <c r="G35" s="120">
        <f>IF($M35="","",INDEX(Schedule!$E$13:$E$50,$M35)&amp;"")</f>
        <v/>
      </c>
      <c r="H35" s="121">
        <f>IF($M35="","",INDEX(Schedule!$F$13:$F$50,$M35)&amp;"")</f>
        <v/>
      </c>
      <c r="I35" s="120">
        <f>IF($M35="","",INDEX(Schedule!$I$13:$I$50,$M35)&amp;"")</f>
        <v/>
      </c>
      <c r="J35" s="122" t="n"/>
      <c r="K35" s="120" t="n"/>
      <c r="M35">
        <f>IFERROR(MATCH(SMALL(Schedule!$S$13:$S$50,27),Schedule!$S$13:$S$50,0),"")</f>
        <v/>
      </c>
    </row>
    <row r="36" ht="18" customHeight="1">
      <c r="B36" s="123">
        <f>IF($M36="","",28)</f>
        <v/>
      </c>
      <c r="C36" s="124">
        <f>IF($M36="","",IF(INDEX(Schedule!$G$13:$G$50,$M36)="","",INDEX(Schedule!$G$13:$G$50,$M36)))</f>
        <v/>
      </c>
      <c r="D36" s="124">
        <f>IF($M36="","",IF(INDEX(Schedule!$H$13:$H$50,$M36)="","",INDEX(Schedule!$H$13:$H$50,$M36)))</f>
        <v/>
      </c>
      <c r="E36" s="125">
        <f>IF($M36="","",INDEX(Schedule!$C$13:$C$50,$M36)&amp;"")</f>
        <v/>
      </c>
      <c r="F36" s="126">
        <f>IF($M36="","",INDEX(Schedule!$D$13:$D$50,$M36)&amp;"")</f>
        <v/>
      </c>
      <c r="G36" s="127">
        <f>IF($M36="","",INDEX(Schedule!$E$13:$E$50,$M36)&amp;"")</f>
        <v/>
      </c>
      <c r="H36" s="128">
        <f>IF($M36="","",INDEX(Schedule!$F$13:$F$50,$M36)&amp;"")</f>
        <v/>
      </c>
      <c r="I36" s="127">
        <f>IF($M36="","",INDEX(Schedule!$I$13:$I$50,$M36)&amp;"")</f>
        <v/>
      </c>
      <c r="J36" s="122" t="n"/>
      <c r="K36" s="127" t="n"/>
      <c r="M36">
        <f>IFERROR(MATCH(SMALL(Schedule!$S$13:$S$50,28),Schedule!$S$13:$S$50,0),"")</f>
        <v/>
      </c>
    </row>
    <row r="37" ht="18" customHeight="1">
      <c r="B37" s="116">
        <f>IF($M37="","",29)</f>
        <v/>
      </c>
      <c r="C37" s="117">
        <f>IF($M37="","",IF(INDEX(Schedule!$G$13:$G$50,$M37)="","",INDEX(Schedule!$G$13:$G$50,$M37)))</f>
        <v/>
      </c>
      <c r="D37" s="117">
        <f>IF($M37="","",IF(INDEX(Schedule!$H$13:$H$50,$M37)="","",INDEX(Schedule!$H$13:$H$50,$M37)))</f>
        <v/>
      </c>
      <c r="E37" s="118">
        <f>IF($M37="","",INDEX(Schedule!$C$13:$C$50,$M37)&amp;"")</f>
        <v/>
      </c>
      <c r="F37" s="119">
        <f>IF($M37="","",INDEX(Schedule!$D$13:$D$50,$M37)&amp;"")</f>
        <v/>
      </c>
      <c r="G37" s="120">
        <f>IF($M37="","",INDEX(Schedule!$E$13:$E$50,$M37)&amp;"")</f>
        <v/>
      </c>
      <c r="H37" s="121">
        <f>IF($M37="","",INDEX(Schedule!$F$13:$F$50,$M37)&amp;"")</f>
        <v/>
      </c>
      <c r="I37" s="120">
        <f>IF($M37="","",INDEX(Schedule!$I$13:$I$50,$M37)&amp;"")</f>
        <v/>
      </c>
      <c r="J37" s="122" t="n"/>
      <c r="K37" s="120" t="n"/>
      <c r="M37">
        <f>IFERROR(MATCH(SMALL(Schedule!$S$13:$S$50,29),Schedule!$S$13:$S$50,0),"")</f>
        <v/>
      </c>
    </row>
    <row r="38" ht="18" customHeight="1">
      <c r="B38" s="123">
        <f>IF($M38="","",30)</f>
        <v/>
      </c>
      <c r="C38" s="124">
        <f>IF($M38="","",IF(INDEX(Schedule!$G$13:$G$50,$M38)="","",INDEX(Schedule!$G$13:$G$50,$M38)))</f>
        <v/>
      </c>
      <c r="D38" s="124">
        <f>IF($M38="","",IF(INDEX(Schedule!$H$13:$H$50,$M38)="","",INDEX(Schedule!$H$13:$H$50,$M38)))</f>
        <v/>
      </c>
      <c r="E38" s="125">
        <f>IF($M38="","",INDEX(Schedule!$C$13:$C$50,$M38)&amp;"")</f>
        <v/>
      </c>
      <c r="F38" s="126">
        <f>IF($M38="","",INDEX(Schedule!$D$13:$D$50,$M38)&amp;"")</f>
        <v/>
      </c>
      <c r="G38" s="127">
        <f>IF($M38="","",INDEX(Schedule!$E$13:$E$50,$M38)&amp;"")</f>
        <v/>
      </c>
      <c r="H38" s="128">
        <f>IF($M38="","",INDEX(Schedule!$F$13:$F$50,$M38)&amp;"")</f>
        <v/>
      </c>
      <c r="I38" s="127">
        <f>IF($M38="","",INDEX(Schedule!$I$13:$I$50,$M38)&amp;"")</f>
        <v/>
      </c>
      <c r="J38" s="122" t="n"/>
      <c r="K38" s="127" t="n"/>
      <c r="M38">
        <f>IFERROR(MATCH(SMALL(Schedule!$S$13:$S$50,30),Schedule!$S$13:$S$50,0),"")</f>
        <v/>
      </c>
    </row>
    <row r="39" ht="18" customHeight="1">
      <c r="B39" s="116">
        <f>IF($M39="","",31)</f>
        <v/>
      </c>
      <c r="C39" s="117">
        <f>IF($M39="","",IF(INDEX(Schedule!$G$13:$G$50,$M39)="","",INDEX(Schedule!$G$13:$G$50,$M39)))</f>
        <v/>
      </c>
      <c r="D39" s="117">
        <f>IF($M39="","",IF(INDEX(Schedule!$H$13:$H$50,$M39)="","",INDEX(Schedule!$H$13:$H$50,$M39)))</f>
        <v/>
      </c>
      <c r="E39" s="118">
        <f>IF($M39="","",INDEX(Schedule!$C$13:$C$50,$M39)&amp;"")</f>
        <v/>
      </c>
      <c r="F39" s="119">
        <f>IF($M39="","",INDEX(Schedule!$D$13:$D$50,$M39)&amp;"")</f>
        <v/>
      </c>
      <c r="G39" s="120">
        <f>IF($M39="","",INDEX(Schedule!$E$13:$E$50,$M39)&amp;"")</f>
        <v/>
      </c>
      <c r="H39" s="121">
        <f>IF($M39="","",INDEX(Schedule!$F$13:$F$50,$M39)&amp;"")</f>
        <v/>
      </c>
      <c r="I39" s="120">
        <f>IF($M39="","",INDEX(Schedule!$I$13:$I$50,$M39)&amp;"")</f>
        <v/>
      </c>
      <c r="J39" s="122" t="n"/>
      <c r="K39" s="120" t="n"/>
      <c r="M39">
        <f>IFERROR(MATCH(SMALL(Schedule!$S$13:$S$50,31),Schedule!$S$13:$S$50,0),"")</f>
        <v/>
      </c>
    </row>
    <row r="40" ht="18" customHeight="1">
      <c r="B40" s="123">
        <f>IF($M40="","",32)</f>
        <v/>
      </c>
      <c r="C40" s="124">
        <f>IF($M40="","",IF(INDEX(Schedule!$G$13:$G$50,$M40)="","",INDEX(Schedule!$G$13:$G$50,$M40)))</f>
        <v/>
      </c>
      <c r="D40" s="124">
        <f>IF($M40="","",IF(INDEX(Schedule!$H$13:$H$50,$M40)="","",INDEX(Schedule!$H$13:$H$50,$M40)))</f>
        <v/>
      </c>
      <c r="E40" s="125">
        <f>IF($M40="","",INDEX(Schedule!$C$13:$C$50,$M40)&amp;"")</f>
        <v/>
      </c>
      <c r="F40" s="126">
        <f>IF($M40="","",INDEX(Schedule!$D$13:$D$50,$M40)&amp;"")</f>
        <v/>
      </c>
      <c r="G40" s="127">
        <f>IF($M40="","",INDEX(Schedule!$E$13:$E$50,$M40)&amp;"")</f>
        <v/>
      </c>
      <c r="H40" s="128">
        <f>IF($M40="","",INDEX(Schedule!$F$13:$F$50,$M40)&amp;"")</f>
        <v/>
      </c>
      <c r="I40" s="127">
        <f>IF($M40="","",INDEX(Schedule!$I$13:$I$50,$M40)&amp;"")</f>
        <v/>
      </c>
      <c r="J40" s="122" t="n"/>
      <c r="K40" s="127" t="n"/>
      <c r="M40">
        <f>IFERROR(MATCH(SMALL(Schedule!$S$13:$S$50,32),Schedule!$S$13:$S$50,0),"")</f>
        <v/>
      </c>
    </row>
    <row r="41" ht="18" customHeight="1">
      <c r="B41" s="116">
        <f>IF($M41="","",33)</f>
        <v/>
      </c>
      <c r="C41" s="117">
        <f>IF($M41="","",IF(INDEX(Schedule!$G$13:$G$50,$M41)="","",INDEX(Schedule!$G$13:$G$50,$M41)))</f>
        <v/>
      </c>
      <c r="D41" s="117">
        <f>IF($M41="","",IF(INDEX(Schedule!$H$13:$H$50,$M41)="","",INDEX(Schedule!$H$13:$H$50,$M41)))</f>
        <v/>
      </c>
      <c r="E41" s="118">
        <f>IF($M41="","",INDEX(Schedule!$C$13:$C$50,$M41)&amp;"")</f>
        <v/>
      </c>
      <c r="F41" s="119">
        <f>IF($M41="","",INDEX(Schedule!$D$13:$D$50,$M41)&amp;"")</f>
        <v/>
      </c>
      <c r="G41" s="120">
        <f>IF($M41="","",INDEX(Schedule!$E$13:$E$50,$M41)&amp;"")</f>
        <v/>
      </c>
      <c r="H41" s="121">
        <f>IF($M41="","",INDEX(Schedule!$F$13:$F$50,$M41)&amp;"")</f>
        <v/>
      </c>
      <c r="I41" s="120">
        <f>IF($M41="","",INDEX(Schedule!$I$13:$I$50,$M41)&amp;"")</f>
        <v/>
      </c>
      <c r="J41" s="122" t="n"/>
      <c r="K41" s="120" t="n"/>
      <c r="M41">
        <f>IFERROR(MATCH(SMALL(Schedule!$S$13:$S$50,33),Schedule!$S$13:$S$50,0),"")</f>
        <v/>
      </c>
    </row>
    <row r="42" ht="18" customHeight="1">
      <c r="B42" s="123">
        <f>IF($M42="","",34)</f>
        <v/>
      </c>
      <c r="C42" s="124">
        <f>IF($M42="","",IF(INDEX(Schedule!$G$13:$G$50,$M42)="","",INDEX(Schedule!$G$13:$G$50,$M42)))</f>
        <v/>
      </c>
      <c r="D42" s="124">
        <f>IF($M42="","",IF(INDEX(Schedule!$H$13:$H$50,$M42)="","",INDEX(Schedule!$H$13:$H$50,$M42)))</f>
        <v/>
      </c>
      <c r="E42" s="125">
        <f>IF($M42="","",INDEX(Schedule!$C$13:$C$50,$M42)&amp;"")</f>
        <v/>
      </c>
      <c r="F42" s="126">
        <f>IF($M42="","",INDEX(Schedule!$D$13:$D$50,$M42)&amp;"")</f>
        <v/>
      </c>
      <c r="G42" s="127">
        <f>IF($M42="","",INDEX(Schedule!$E$13:$E$50,$M42)&amp;"")</f>
        <v/>
      </c>
      <c r="H42" s="128">
        <f>IF($M42="","",INDEX(Schedule!$F$13:$F$50,$M42)&amp;"")</f>
        <v/>
      </c>
      <c r="I42" s="127">
        <f>IF($M42="","",INDEX(Schedule!$I$13:$I$50,$M42)&amp;"")</f>
        <v/>
      </c>
      <c r="J42" s="122" t="n"/>
      <c r="K42" s="127" t="n"/>
      <c r="M42">
        <f>IFERROR(MATCH(SMALL(Schedule!$S$13:$S$50,34),Schedule!$S$13:$S$50,0),"")</f>
        <v/>
      </c>
    </row>
    <row r="43" ht="18" customHeight="1">
      <c r="B43" s="116">
        <f>IF($M43="","",35)</f>
        <v/>
      </c>
      <c r="C43" s="117">
        <f>IF($M43="","",IF(INDEX(Schedule!$G$13:$G$50,$M43)="","",INDEX(Schedule!$G$13:$G$50,$M43)))</f>
        <v/>
      </c>
      <c r="D43" s="117">
        <f>IF($M43="","",IF(INDEX(Schedule!$H$13:$H$50,$M43)="","",INDEX(Schedule!$H$13:$H$50,$M43)))</f>
        <v/>
      </c>
      <c r="E43" s="118">
        <f>IF($M43="","",INDEX(Schedule!$C$13:$C$50,$M43)&amp;"")</f>
        <v/>
      </c>
      <c r="F43" s="119">
        <f>IF($M43="","",INDEX(Schedule!$D$13:$D$50,$M43)&amp;"")</f>
        <v/>
      </c>
      <c r="G43" s="120">
        <f>IF($M43="","",INDEX(Schedule!$E$13:$E$50,$M43)&amp;"")</f>
        <v/>
      </c>
      <c r="H43" s="121">
        <f>IF($M43="","",INDEX(Schedule!$F$13:$F$50,$M43)&amp;"")</f>
        <v/>
      </c>
      <c r="I43" s="120">
        <f>IF($M43="","",INDEX(Schedule!$I$13:$I$50,$M43)&amp;"")</f>
        <v/>
      </c>
      <c r="J43" s="122" t="n"/>
      <c r="K43" s="120" t="n"/>
      <c r="M43">
        <f>IFERROR(MATCH(SMALL(Schedule!$S$13:$S$50,35),Schedule!$S$13:$S$50,0),"")</f>
        <v/>
      </c>
    </row>
    <row r="44" ht="18" customHeight="1">
      <c r="B44" s="123">
        <f>IF($M44="","",36)</f>
        <v/>
      </c>
      <c r="C44" s="124">
        <f>IF($M44="","",IF(INDEX(Schedule!$G$13:$G$50,$M44)="","",INDEX(Schedule!$G$13:$G$50,$M44)))</f>
        <v/>
      </c>
      <c r="D44" s="124">
        <f>IF($M44="","",IF(INDEX(Schedule!$H$13:$H$50,$M44)="","",INDEX(Schedule!$H$13:$H$50,$M44)))</f>
        <v/>
      </c>
      <c r="E44" s="125">
        <f>IF($M44="","",INDEX(Schedule!$C$13:$C$50,$M44)&amp;"")</f>
        <v/>
      </c>
      <c r="F44" s="126">
        <f>IF($M44="","",INDEX(Schedule!$D$13:$D$50,$M44)&amp;"")</f>
        <v/>
      </c>
      <c r="G44" s="127">
        <f>IF($M44="","",INDEX(Schedule!$E$13:$E$50,$M44)&amp;"")</f>
        <v/>
      </c>
      <c r="H44" s="128">
        <f>IF($M44="","",INDEX(Schedule!$F$13:$F$50,$M44)&amp;"")</f>
        <v/>
      </c>
      <c r="I44" s="127">
        <f>IF($M44="","",INDEX(Schedule!$I$13:$I$50,$M44)&amp;"")</f>
        <v/>
      </c>
      <c r="J44" s="122" t="n"/>
      <c r="K44" s="127" t="n"/>
      <c r="M44">
        <f>IFERROR(MATCH(SMALL(Schedule!$S$13:$S$50,36),Schedule!$S$13:$S$50,0),"")</f>
        <v/>
      </c>
    </row>
    <row r="45" ht="18" customHeight="1">
      <c r="B45" s="116">
        <f>IF($M45="","",37)</f>
        <v/>
      </c>
      <c r="C45" s="117">
        <f>IF($M45="","",IF(INDEX(Schedule!$G$13:$G$50,$M45)="","",INDEX(Schedule!$G$13:$G$50,$M45)))</f>
        <v/>
      </c>
      <c r="D45" s="117">
        <f>IF($M45="","",IF(INDEX(Schedule!$H$13:$H$50,$M45)="","",INDEX(Schedule!$H$13:$H$50,$M45)))</f>
        <v/>
      </c>
      <c r="E45" s="118">
        <f>IF($M45="","",INDEX(Schedule!$C$13:$C$50,$M45)&amp;"")</f>
        <v/>
      </c>
      <c r="F45" s="119">
        <f>IF($M45="","",INDEX(Schedule!$D$13:$D$50,$M45)&amp;"")</f>
        <v/>
      </c>
      <c r="G45" s="120">
        <f>IF($M45="","",INDEX(Schedule!$E$13:$E$50,$M45)&amp;"")</f>
        <v/>
      </c>
      <c r="H45" s="121">
        <f>IF($M45="","",INDEX(Schedule!$F$13:$F$50,$M45)&amp;"")</f>
        <v/>
      </c>
      <c r="I45" s="120">
        <f>IF($M45="","",INDEX(Schedule!$I$13:$I$50,$M45)&amp;"")</f>
        <v/>
      </c>
      <c r="J45" s="122" t="n"/>
      <c r="K45" s="120" t="n"/>
      <c r="M45">
        <f>IFERROR(MATCH(SMALL(Schedule!$S$13:$S$50,37),Schedule!$S$13:$S$50,0),"")</f>
        <v/>
      </c>
    </row>
    <row r="46" ht="18" customHeight="1">
      <c r="B46" s="123">
        <f>IF($M46="","",38)</f>
        <v/>
      </c>
      <c r="C46" s="124">
        <f>IF($M46="","",IF(INDEX(Schedule!$G$13:$G$50,$M46)="","",INDEX(Schedule!$G$13:$G$50,$M46)))</f>
        <v/>
      </c>
      <c r="D46" s="124">
        <f>IF($M46="","",IF(INDEX(Schedule!$H$13:$H$50,$M46)="","",INDEX(Schedule!$H$13:$H$50,$M46)))</f>
        <v/>
      </c>
      <c r="E46" s="125">
        <f>IF($M46="","",INDEX(Schedule!$C$13:$C$50,$M46)&amp;"")</f>
        <v/>
      </c>
      <c r="F46" s="126">
        <f>IF($M46="","",INDEX(Schedule!$D$13:$D$50,$M46)&amp;"")</f>
        <v/>
      </c>
      <c r="G46" s="127">
        <f>IF($M46="","",INDEX(Schedule!$E$13:$E$50,$M46)&amp;"")</f>
        <v/>
      </c>
      <c r="H46" s="128">
        <f>IF($M46="","",INDEX(Schedule!$F$13:$F$50,$M46)&amp;"")</f>
        <v/>
      </c>
      <c r="I46" s="127">
        <f>IF($M46="","",INDEX(Schedule!$I$13:$I$50,$M46)&amp;"")</f>
        <v/>
      </c>
      <c r="J46" s="122" t="n"/>
      <c r="K46" s="127" t="n"/>
      <c r="M46">
        <f>IFERROR(MATCH(SMALL(Schedule!$S$13:$S$50,38),Schedule!$S$13:$S$50,0),"")</f>
        <v/>
      </c>
    </row>
    <row r="47" ht="8" customHeight="1"/>
    <row r="48" ht="14" customHeight="1">
      <c r="B48" s="129" t="inlineStr">
        <is>
          <t>Pulled from the Schedule tab and ordered by arrival. Edit vendors there, not here. Print this page for your clipboard and tick vendors off as they arrive.</t>
        </is>
      </c>
      <c r="C48" s="129" t="n"/>
      <c r="D48" s="129" t="n"/>
      <c r="E48" s="129" t="n"/>
      <c r="F48" s="129" t="n"/>
      <c r="G48" s="129" t="n"/>
      <c r="H48" s="129" t="n"/>
      <c r="I48" s="129" t="n"/>
      <c r="J48" s="129" t="n"/>
      <c r="K48" s="129" t="n"/>
    </row>
  </sheetData>
  <mergeCells count="14">
    <mergeCell ref="B4:F4"/>
    <mergeCell ref="J3:K3"/>
    <mergeCell ref="J4:K4"/>
    <mergeCell ref="H2:I2"/>
    <mergeCell ref="C7:D7"/>
    <mergeCell ref="B2:F2"/>
    <mergeCell ref="J5:K5"/>
    <mergeCell ref="J2:K2"/>
    <mergeCell ref="B3:F3"/>
    <mergeCell ref="B5:F5"/>
    <mergeCell ref="H5:I5"/>
    <mergeCell ref="H4:I4"/>
    <mergeCell ref="B48:K48"/>
    <mergeCell ref="H3:I3"/>
  </mergeCells>
  <printOptions horizontalCentered="1"/>
  <pageMargins left="0.35" right="0.35" top="0.4" bottom="0.5" header="0.2" footer="0.25"/>
  <pageSetup orientation="portrait" paperSize="1" fitToHeight="1" fitToWidth="1"/>
  <headerFooter>
    <oddHeader/>
    <oddFooter>&amp;L&amp;"Arial,Regular"&amp;8 &amp;K64748BMade with ETA Tracker · etatracker.io&amp;R&amp;"Arial,Regular"&amp;8 &amp;K64748BPage &amp;P of &amp;N</oddFooter>
    <evenHeader/>
    <evenFooter>&amp;L&amp;"Arial,Regular"&amp;8 &amp;K64748BMade with ETA Tracker · etatracker.io&amp;R&amp;"Arial,Regular"&amp;8 &amp;K64748BPage &amp;P of &amp;N</evenFooter>
    <firstHeader/>
    <firstFooter>&amp;L&amp;"Arial,Regular"&amp;8 &amp;K64748BMade with ETA Tracker · etatracker.io&amp;R&amp;"Arial,Regular"&amp;8 &amp;K64748BPage &amp;P of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ETA Tracker</dc:creator>
  <dc:title>Event Load-In Schedule Template</dc:title>
  <dc:description>Free template from ETA Tracker (etatracker.io).</dc:description>
  <dc:subject>Vendor load-in schedule, arrival windows, and day-of call sheet</dc:subject>
  <dcterms:created xsi:type="dcterms:W3CDTF">2026-10-01T12:00:00Z</dcterms:created>
  <dcterms:modified xsi:type="dcterms:W3CDTF">2026-10-03T04:29:15Z</dcterms:modified>
  <cp:lastModifiedBy>ETA Tracker</cp:lastModifiedBy>
  <cp:category>Event planning</cp:category>
  <cp:keywords>load-in schedule, vendor schedule, event planning, run of show, ETA Tracker</cp:keywords>
</cp:coreProperties>
</file>